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4"/>
  </bookViews>
  <sheets>
    <sheet name="ativos" sheetId="1" r:id="rId1"/>
    <sheet name="dAtivos" sheetId="2" r:id="rId2"/>
    <sheet name="FI-INFRA" sheetId="3" r:id="rId3"/>
    <sheet name="Cálculo Taxas" sheetId="4" r:id="rId4"/>
    <sheet name="fOperacoes" sheetId="5" r:id="rId5"/>
    <sheet name="Vendas" sheetId="6" r:id="rId6"/>
    <sheet name="PM_2" sheetId="7" r:id="rId7"/>
    <sheet name="Ações" sheetId="8" r:id="rId8"/>
  </sheets>
  <definedNames>
    <definedName name="_xlnm._FilterDatabase" localSheetId="4" hidden="1">fOperacoes!$A$1:$K$512</definedName>
    <definedName name="_xlnm._FilterDatabase" localSheetId="7" hidden="1">Ações!$A$1:$J$53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HGLG11+HGLG13+HGLG14
	-Douglas Marques
----
IRDM11+IRDM13+IRDM14
	-Douglas Marques
----
HFOF11+HFOF13+HFOF14
	-Douglas Marques
----
IRDM11+IRDM13
	-Douglas Marques
----
MGFF11+MGFF13+MGFF14
	-Douglas Marques
----
HFOF11+HFOF13+HFOF14
	-Douglas Marques
----
HFOF11+HFOF13
	-Douglas Marques
----
IRDM11+IRDM13
	-Douglas Marques
----
HCTR11+HCTR13
	-Douglas Marques
----
MFII11+MFII13+MFII14
	-Douglas Marques
----
IRDM11+IRDM13+IRDM14
	-Douglas Marques
----
HCTR11+HCTR13+HCTR14
	-Douglas Marques
----
MFII11+MFII13
	-Douglas Marques
----
IRDM11+IRDM13
	-Douglas Marques
----
HCTR11+HCTR13
	-Douglas Marques
----
HCTR11+HCTR13+HCTR14
	-Douglas Marques
----
RECR11+RECR13
	-Douglas Marques
----
RECR11+RECR13+RECR14
	-Douglas Marques
----
TGAR11+TGAR13
	-Douglas Marques
----
MFII11+MFII13
	-Douglas Marques
----
HCTR11+HCTR13+HCTR14
	-Douglas Marques
----
IRDM11+IRDM13+IRDM14
	-Douglas Marques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90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04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21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27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37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39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42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55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57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59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60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65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68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73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82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192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212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216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217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244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267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286" authorId="0">
      <text>
        <r>
          <rPr>
            <sz val="10"/>
            <rFont val="SimSun"/>
            <charset val="134"/>
          </rPr>
          <t>desdobramento 1:9
	-Douglas Marques</t>
        </r>
      </text>
    </comment>
    <comment ref="E357" authorId="0">
      <text>
        <r>
          <rPr>
            <sz val="10"/>
            <rFont val="SimSun"/>
            <charset val="134"/>
          </rPr>
          <t>desdobramento 1:5
	-Douglas Marques</t>
        </r>
      </text>
    </comment>
    <comment ref="E361" authorId="0">
      <text>
        <r>
          <rPr>
            <sz val="10"/>
            <rFont val="SimSun"/>
            <charset val="134"/>
          </rPr>
          <t>desdobramento 1:5
	-Douglas Marques</t>
        </r>
      </text>
    </comment>
  </commentList>
</comments>
</file>

<file path=xl/sharedStrings.xml><?xml version="1.0" encoding="utf-8"?>
<sst xmlns="http://schemas.openxmlformats.org/spreadsheetml/2006/main" count="1797" uniqueCount="299">
  <si>
    <t>Ticker</t>
  </si>
  <si>
    <t>Cotas</t>
  </si>
  <si>
    <t>Segmento</t>
  </si>
  <si>
    <t>Rendimento por Cota</t>
  </si>
  <si>
    <t>Rendimento Total</t>
  </si>
  <si>
    <t>YoC       (% a.m.)</t>
  </si>
  <si>
    <t>DY         (% a.m.)</t>
  </si>
  <si>
    <t>Valor de Mercado</t>
  </si>
  <si>
    <t>% PL</t>
  </si>
  <si>
    <t>Preco Medio</t>
  </si>
  <si>
    <t>VP   (12/23)</t>
  </si>
  <si>
    <t>Cotacao Atual</t>
  </si>
  <si>
    <t>Resultado</t>
  </si>
  <si>
    <t>LVBI11</t>
  </si>
  <si>
    <t>TIJOLO</t>
  </si>
  <si>
    <t>HGLG11</t>
  </si>
  <si>
    <t>IRDM11</t>
  </si>
  <si>
    <t>PAPEL</t>
  </si>
  <si>
    <t>TGAR11</t>
  </si>
  <si>
    <t>HIBRIDO</t>
  </si>
  <si>
    <t>RECR11</t>
  </si>
  <si>
    <t>HGRE11</t>
  </si>
  <si>
    <t>MFII11</t>
  </si>
  <si>
    <t>CVBI11</t>
  </si>
  <si>
    <t>MCCI11</t>
  </si>
  <si>
    <t>RZAT11</t>
  </si>
  <si>
    <t>NCHB11</t>
  </si>
  <si>
    <t>RZTR11</t>
  </si>
  <si>
    <t>VINO11</t>
  </si>
  <si>
    <t>BRCO11</t>
  </si>
  <si>
    <t>BTLG11</t>
  </si>
  <si>
    <t>HSAF11</t>
  </si>
  <si>
    <t>BARI11</t>
  </si>
  <si>
    <t>CPTI11</t>
  </si>
  <si>
    <t>INFRA</t>
  </si>
  <si>
    <t>RBED11</t>
  </si>
  <si>
    <t>BDIF11</t>
  </si>
  <si>
    <t>HGBS11</t>
  </si>
  <si>
    <t>VGHF11</t>
  </si>
  <si>
    <t>HCTR11</t>
  </si>
  <si>
    <t>BODB11</t>
  </si>
  <si>
    <t>BIDB11</t>
  </si>
  <si>
    <t>PVBI11</t>
  </si>
  <si>
    <t>JURO11</t>
  </si>
  <si>
    <t>RESUMO</t>
  </si>
  <si>
    <t>Classe</t>
  </si>
  <si>
    <t>Em carteira</t>
  </si>
  <si>
    <t>CNPJ do Fundo</t>
  </si>
  <si>
    <t>CNPJ da Administradora</t>
  </si>
  <si>
    <t>Administradora</t>
  </si>
  <si>
    <t>Nome do Fundo</t>
  </si>
  <si>
    <t>Data de Início</t>
  </si>
  <si>
    <t>FII</t>
  </si>
  <si>
    <t>CRÉDITO</t>
  </si>
  <si>
    <t>SIM</t>
  </si>
  <si>
    <t>28.830.325/0001-10</t>
  </si>
  <si>
    <t>59.281.253/0001-23</t>
  </si>
  <si>
    <t>BTG PACTUAL SERVIÇOS FINANCEIROS S/A DTVM</t>
  </si>
  <si>
    <t>FUNDO DE INVESTIMENTO IMOBILIARIO IRIDIUM RECEBIVEIS IMOBILIARIOS</t>
  </si>
  <si>
    <t>23.648.935/0001-84</t>
  </si>
  <si>
    <t>FUNDO DE INVESTIMENTO IMOBILIÁRIO MAUÁ CAPITAL RECEBÍVEIS IMOBILIÁRIOS - FII</t>
  </si>
  <si>
    <t>28.729.197/0001-13</t>
  </si>
  <si>
    <t>13.486.793/0001-42</t>
  </si>
  <si>
    <t>BRL TRUST DISTRIBUIDORA DE TITULOS E VALORES MOBILIARIOS S.A.</t>
  </si>
  <si>
    <t>FUNDO DE INVESTIMENTO IMOBILIÁRIO - VBI CRI</t>
  </si>
  <si>
    <t>18.085.673/0001-57</t>
  </si>
  <si>
    <t>FUNDO DE INVESTIMENTO IMOBILIÁRIO - NCH EQI HIGH YIELD RECEBÍVEIS IMOBILIÁRIOS</t>
  </si>
  <si>
    <t>28.152.272/0001-26</t>
  </si>
  <si>
    <t>FUNDO DE INVESTIMENTO IMOBILIÁRIO - FII REC RECEBÍVEIS IMOBILIÁRIOS</t>
  </si>
  <si>
    <t>30.248.180/0001-96</t>
  </si>
  <si>
    <t>22.610.500/0001-88</t>
  </si>
  <si>
    <t>VORTX DISTRIBUIDORA DE TITULOS E VALORES MOBILIARIOS LTDA</t>
  </si>
  <si>
    <t>HECTARE CE - FUNDO DE INVESTIMENTO IMOBILIÁRIO</t>
  </si>
  <si>
    <t>LAJES</t>
  </si>
  <si>
    <t>09.072.017/0001-29</t>
  </si>
  <si>
    <t>61.809.182/0001-30</t>
  </si>
  <si>
    <t>CREDIT SUISSE HEDGING-GRIFFO CORRETORA DE VALORES S.A.</t>
  </si>
  <si>
    <t>CSHG REAL ESTATE - FUNDO DE INVESTIMENTO IMOBILIÁRIO - FII</t>
  </si>
  <si>
    <t>12.516.185/0001-70</t>
  </si>
  <si>
    <t>VINCI OFFICES FUNDO DE INVESTIMENTO IMOBILIÁRIO</t>
  </si>
  <si>
    <t>LOGÍSTICA</t>
  </si>
  <si>
    <t>11.728.688/0001-47</t>
  </si>
  <si>
    <t>20.748.515/0001-81</t>
  </si>
  <si>
    <t>36.113.876/0001-91</t>
  </si>
  <si>
    <t>OLIVEIRA TRUST DTVM S.A.</t>
  </si>
  <si>
    <t>BRESCO LOGÍSTICA FUNDO DE INVESTIMENTO IMOBILIÁRIO</t>
  </si>
  <si>
    <t>30.629.603/0001-18</t>
  </si>
  <si>
    <t>FUNDO DE INVESTIMENTO IMOBILIARIO - VBI LOGISTICO</t>
  </si>
  <si>
    <t>11.839.593/0001-09</t>
  </si>
  <si>
    <t>BTG PACTUAL LOGÍSTICA FUNDO DE INVESTIMENTO IMOBILIÁRIO</t>
  </si>
  <si>
    <t>EDUCACIONAL</t>
  </si>
  <si>
    <t>13.873.457/0001-52</t>
  </si>
  <si>
    <t>72.600.026/0001-81</t>
  </si>
  <si>
    <t>RIO BRAVO INVESTIMENTOS - DISTRIBUIDORA DE TITULOS E VALORES MOBILIARIOS LTDA</t>
  </si>
  <si>
    <t>FUNDO DE INVESTIMENTO IMOBILIÁRIO RIO BRAVO RENDA EDUCACIONAL- FII</t>
  </si>
  <si>
    <t>DESENVOLVIMENTO</t>
  </si>
  <si>
    <t>25.032.881/0001-53</t>
  </si>
  <si>
    <t>FUNDO DE INVESTIMENTO IMOBILIÁRIO TG ATIVO REAL</t>
  </si>
  <si>
    <t>16.915.968/0001-88</t>
  </si>
  <si>
    <t>41.592.532/0001-42</t>
  </si>
  <si>
    <t>MERITO DISTRIBUIDORA DE TITULOS E VALORES MOBILIARIOS LTDA.</t>
  </si>
  <si>
    <t>MERITO DESENVOLVIMENTO IMOBILIARIO I FII - FUNDO DE INVESTIMENTO IMOBILIARIO</t>
  </si>
  <si>
    <t>AGRÍCOLA</t>
  </si>
  <si>
    <t>36.501.128/0001-86</t>
  </si>
  <si>
    <t>45.246.410/0001-55</t>
  </si>
  <si>
    <t>BANCO GENIAL S.A.</t>
  </si>
  <si>
    <t>FUNDO DE INVESTIMENTO IMOBILIÁRIO RIZA TERRAX</t>
  </si>
  <si>
    <t>ARCT11</t>
  </si>
  <si>
    <t>28.267.696/0001-36</t>
  </si>
  <si>
    <t>RIZA ARCTIUM REAL ESTATE FUNDO DE INVESTIMENTO IMOBILIÁRIO</t>
  </si>
  <si>
    <t>FI-INFRA</t>
  </si>
  <si>
    <t>INFRAESTUTURA</t>
  </si>
  <si>
    <t>38.065.012/0001-77</t>
  </si>
  <si>
    <t>CAPITÂNIA INFRA FDO. INV. FDO. IE. RF. CRED. PRIV.</t>
  </si>
  <si>
    <t>MGFF11</t>
  </si>
  <si>
    <t>FOF</t>
  </si>
  <si>
    <t>NÃO</t>
  </si>
  <si>
    <t>29.216.463/0001-77</t>
  </si>
  <si>
    <t>FUNDO DE INVESTIMENTO IMOBILIARIO MOGNO FUNDO DE FUNDOS</t>
  </si>
  <si>
    <t>HFOF11</t>
  </si>
  <si>
    <t>18.307.582/0001-19</t>
  </si>
  <si>
    <t>07.253.654/0001-76</t>
  </si>
  <si>
    <t>HEDGE INVESTMENTS DISTRIBUIDORA DE TÍTULOS E VALORES MOBILIÁRIOS LTDA</t>
  </si>
  <si>
    <t>HEDGE TOP FOFII 3 FUNDO DE INVESTIMENTO IMOBILIÁRIO</t>
  </si>
  <si>
    <t>SPTW11</t>
  </si>
  <si>
    <t>15.538.445/0001-05</t>
  </si>
  <si>
    <t>27.652.684/0001-62</t>
  </si>
  <si>
    <t>GENIAL INVESTIMENTOS CORRETORA DE VALORES MOBILIÁRIOS S.A.</t>
  </si>
  <si>
    <t>SP DOWNTOWN FUNDO DE INVESTIMENTO IMOBILIÁRIO - FII</t>
  </si>
  <si>
    <t>RBRP11</t>
  </si>
  <si>
    <t>HÍBRIDO</t>
  </si>
  <si>
    <t>21.408.063/0001-51</t>
  </si>
  <si>
    <t>FUNDO DE INVESTIMENTO IMOBILIARIO RBR PROPERTIES - FII</t>
  </si>
  <si>
    <t>VTLT11</t>
  </si>
  <si>
    <t>27.368.600/0001-63</t>
  </si>
  <si>
    <t>03.384.738/0001-98</t>
  </si>
  <si>
    <t>BV DISTRIBUIDORA DE TÍTULOS E VALORES MOBILIÁRIOS LTDA</t>
  </si>
  <si>
    <t>FUNDO DE INVESTIMENTO IMOBILIÁRIO VOTORANTIM LOGÍSTICA</t>
  </si>
  <si>
    <t>XPML11</t>
  </si>
  <si>
    <t>SHOPPING</t>
  </si>
  <si>
    <t>28.757.546/0001-00</t>
  </si>
  <si>
    <t>02.332.886/0001-04</t>
  </si>
  <si>
    <t>XP INVESTIMENTOS CCTVM S.A.</t>
  </si>
  <si>
    <t>XP MALLS FUNDO DE INVESTIMENTO IMOBILIÁRIO FII</t>
  </si>
  <si>
    <t>08.431.747/0001-06</t>
  </si>
  <si>
    <t>HEDGE BRASIL SHOPPING FUNDO DE INVESTIMENTO IMOBILIÁRIO</t>
  </si>
  <si>
    <t>HBRH11</t>
  </si>
  <si>
    <t>30.871.698/0001-81</t>
  </si>
  <si>
    <t>FUNDO DE INVESTIMENTO IMOBILIÁRIO MULTI RENDA URBANA</t>
  </si>
  <si>
    <t>RBVA11</t>
  </si>
  <si>
    <t>AGÊNCIAS</t>
  </si>
  <si>
    <t>15.576.907/0001-70</t>
  </si>
  <si>
    <t>FUNDO DE INVESTIMENTO IMOBILIÁRIO RIO BRAVO RENDA VAREJO - FII</t>
  </si>
  <si>
    <t>BBPO11</t>
  </si>
  <si>
    <t>14.410.722/0001-29</t>
  </si>
  <si>
    <t>BB PROGRESSIVO II FUNDO DE INVESTIMENTO IMOBILIÁRIO - FII</t>
  </si>
  <si>
    <t>HGCR11</t>
  </si>
  <si>
    <t>11.160.521/0001-22</t>
  </si>
  <si>
    <t>CSHG RECEBÍVEIS IMOBILIÁRIOS - FUNDO DE INVESTIMENTO IMOBILIÁRIO - FII</t>
  </si>
  <si>
    <t>SAAG11</t>
  </si>
  <si>
    <t>16.915.840/0001-14</t>
  </si>
  <si>
    <t>SANTANDER AGÊNCIAS FUNDO DE INVESTIMENTO IMOBILIÁRIO - FII</t>
  </si>
  <si>
    <t>35.652.102/0001-76</t>
  </si>
  <si>
    <t>FUNDO DE INVESTIMENTO IMOBILIÁRIO - VBI PRIME PROPERTIES</t>
  </si>
  <si>
    <t>HEDGE FUND</t>
  </si>
  <si>
    <t>36.771.692/0001-19</t>
  </si>
  <si>
    <t>62.232.889/0001-90</t>
  </si>
  <si>
    <t>BANCO DAYCOVAL S.A.</t>
  </si>
  <si>
    <t>VALORA HEDGE FUND FUNDO DE INVESTIMENTO IMOBILIÁRIO - FII</t>
  </si>
  <si>
    <t>TICKER</t>
  </si>
  <si>
    <t>GESTORA</t>
  </si>
  <si>
    <t>PATRIMÔNIO LÍQ.</t>
  </si>
  <si>
    <t>ATIVOS</t>
  </si>
  <si>
    <t>TAXA LÍQUIDA</t>
  </si>
  <si>
    <t>TAXA ADM.</t>
  </si>
  <si>
    <t>TAXA PERF.</t>
  </si>
  <si>
    <t>BENCHMARK</t>
  </si>
  <si>
    <t>VP</t>
  </si>
  <si>
    <t>COTAÇÃO</t>
  </si>
  <si>
    <t>OSCILAÇÃO</t>
  </si>
  <si>
    <t>DURATION (anos)</t>
  </si>
  <si>
    <t>KDIF11</t>
  </si>
  <si>
    <t>KINEA</t>
  </si>
  <si>
    <t>IPCA + 7,20%</t>
  </si>
  <si>
    <t xml:space="preserve">- </t>
  </si>
  <si>
    <t>-</t>
  </si>
  <si>
    <t>BTG PACTUAL</t>
  </si>
  <si>
    <t>IPCA + 7,80%</t>
  </si>
  <si>
    <t>IMA-B + 2,00%</t>
  </si>
  <si>
    <t>SPARTA</t>
  </si>
  <si>
    <t>IPCA + 8,10%</t>
  </si>
  <si>
    <t>IFRA11</t>
  </si>
  <si>
    <t>ITAU</t>
  </si>
  <si>
    <t>IPCA + 6,18%</t>
  </si>
  <si>
    <t>CAPITÂNIA</t>
  </si>
  <si>
    <t>IPCA + 8,46%</t>
  </si>
  <si>
    <t>XPID11</t>
  </si>
  <si>
    <t xml:space="preserve">XP </t>
  </si>
  <si>
    <t>IPCA + 9,04%</t>
  </si>
  <si>
    <t>BOCAINA CAPITAL</t>
  </si>
  <si>
    <t>IPCA + 8,56%</t>
  </si>
  <si>
    <t>INTER</t>
  </si>
  <si>
    <t>IPCA + 7,95%</t>
  </si>
  <si>
    <t>RBIF11</t>
  </si>
  <si>
    <t>RIO BRAVO</t>
  </si>
  <si>
    <t>IPCA + 8,90%</t>
  </si>
  <si>
    <t>OGIN11</t>
  </si>
  <si>
    <t>ÓRAMA</t>
  </si>
  <si>
    <t>CÁLCULO DOS EMOLUMENTOS E TAXAS CBLC</t>
  </si>
  <si>
    <t>VALOR</t>
  </si>
  <si>
    <t>TAXA B3</t>
  </si>
  <si>
    <t>TAXA CBLC</t>
  </si>
  <si>
    <t>OUTRAS DESPESAS</t>
  </si>
  <si>
    <t>TAXA B3 TOTAL</t>
  </si>
  <si>
    <t>TAXA CBLC TOTAL</t>
  </si>
  <si>
    <t>COTAS</t>
  </si>
  <si>
    <t>PM</t>
  </si>
  <si>
    <t>TOTAL</t>
  </si>
  <si>
    <t>Operacao</t>
  </si>
  <si>
    <t>Nr Cotas</t>
  </si>
  <si>
    <t>Data da Operacao</t>
  </si>
  <si>
    <t>Preco Unitario</t>
  </si>
  <si>
    <t>Preco Total</t>
  </si>
  <si>
    <t>Taxa da B3</t>
  </si>
  <si>
    <t>Taxa da CBLC</t>
  </si>
  <si>
    <t>Outras Despesas</t>
  </si>
  <si>
    <t>Preco Final</t>
  </si>
  <si>
    <t>Subscricao</t>
  </si>
  <si>
    <t>COMPRA</t>
  </si>
  <si>
    <t>VENDA</t>
  </si>
  <si>
    <t>SUBSCRIÇÃO</t>
  </si>
  <si>
    <t>XPLG11</t>
  </si>
  <si>
    <t>VENDAS - JULHO 2020</t>
  </si>
  <si>
    <t>VENDAS - AGOSTO 2020</t>
  </si>
  <si>
    <t>PREÇO VENDA</t>
  </si>
  <si>
    <t>PREÇO MÉDIO</t>
  </si>
  <si>
    <t>RESULTADO MÊS</t>
  </si>
  <si>
    <t>ACUMULADO</t>
  </si>
  <si>
    <t>PREJUÍZO</t>
  </si>
  <si>
    <t>VENDAS - SETEMBRO 2020</t>
  </si>
  <si>
    <t>VENDAS - NOVEMBRO 2020</t>
  </si>
  <si>
    <t>RESULTADO</t>
  </si>
  <si>
    <t>VENDAS - DEZEMBRO 2020</t>
  </si>
  <si>
    <t>VENDAS - FEVEREIRO 2021</t>
  </si>
  <si>
    <t>VENDAS - MARÇO 2021</t>
  </si>
  <si>
    <t>VENDAS - MAIO 2021</t>
  </si>
  <si>
    <t>TGAR12</t>
  </si>
  <si>
    <t>VENDAS - JULHO 2023</t>
  </si>
  <si>
    <t>VENDAS - MAIO 2024</t>
  </si>
  <si>
    <t>PRÉ-OFERTA</t>
  </si>
  <si>
    <t>INDEXADOR</t>
  </si>
  <si>
    <t>TAXA MÉDIA</t>
  </si>
  <si>
    <t>TAXA TOTAL</t>
  </si>
  <si>
    <t>PL ATUAL</t>
  </si>
  <si>
    <t>IGP-M</t>
  </si>
  <si>
    <t>CAPTAÇÃO</t>
  </si>
  <si>
    <t>IPCA</t>
  </si>
  <si>
    <t/>
  </si>
  <si>
    <t>FATOR DE PROPORÇÃO</t>
  </si>
  <si>
    <t>CDI +</t>
  </si>
  <si>
    <t>VP ATUAL</t>
  </si>
  <si>
    <t>TR</t>
  </si>
  <si>
    <t>VM ATUAL</t>
  </si>
  <si>
    <t>PRÉ-FIXADO</t>
  </si>
  <si>
    <t>REND. ATUAL</t>
  </si>
  <si>
    <t>CAP RATE ATUAL</t>
  </si>
  <si>
    <t>TAXA MÉDIA PONDERADA</t>
  </si>
  <si>
    <t>CUSTO DISTRIBUIÇÃO</t>
  </si>
  <si>
    <t>PREÇO DE EMISSÃO</t>
  </si>
  <si>
    <t>PÓS-OFERTA</t>
  </si>
  <si>
    <t>PV PROJETADO</t>
  </si>
  <si>
    <t>VM AJUSTADO</t>
  </si>
  <si>
    <t>CAP RATE PROJETADO</t>
  </si>
  <si>
    <t>REND. PROJETADO</t>
  </si>
  <si>
    <t>NOVAS COTAS</t>
  </si>
  <si>
    <t>EQIN11</t>
  </si>
  <si>
    <t>MÊS</t>
  </si>
  <si>
    <t>FLUXOS</t>
  </si>
  <si>
    <t>REND.</t>
  </si>
  <si>
    <t>TIR (% a.m.)</t>
  </si>
  <si>
    <t>TIR (% a.a.)</t>
  </si>
  <si>
    <t>OPERAÇÃO</t>
  </si>
  <si>
    <t>Nr COTAS</t>
  </si>
  <si>
    <t>DATA</t>
  </si>
  <si>
    <t>PREÇO UNITÁRIO</t>
  </si>
  <si>
    <t>TAXA     B3</t>
  </si>
  <si>
    <t>PREÇO</t>
  </si>
  <si>
    <t>OBS.</t>
  </si>
  <si>
    <t>ABEV3</t>
  </si>
  <si>
    <t>BBDC4</t>
  </si>
  <si>
    <t>PSSA3</t>
  </si>
  <si>
    <t>OIBR3</t>
  </si>
  <si>
    <t>BBAS3</t>
  </si>
  <si>
    <t>ENGE3</t>
  </si>
  <si>
    <t>FLRY3</t>
  </si>
  <si>
    <t>HYPE3</t>
  </si>
  <si>
    <t>SLCA3</t>
  </si>
  <si>
    <t>VALE3</t>
  </si>
  <si>
    <t>CRFB3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</si>
</sst>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/m/yyyy"/>
    <numFmt numFmtId="181" formatCode="[$R$ -416]#,##0.00"/>
    <numFmt numFmtId="182" formatCode="0.0000%"/>
    <numFmt numFmtId="183" formatCode="[$R$ -416]#,##0.000"/>
  </numFmts>
  <fonts count="34">
    <font>
      <sz val="10"/>
      <color rgb="FF000000"/>
      <name val="Verdana"/>
      <charset val="134"/>
      <scheme val="minor"/>
    </font>
    <font>
      <b/>
      <sz val="10"/>
      <color theme="1"/>
      <name val="Verdana"/>
      <charset val="134"/>
      <scheme val="minor"/>
    </font>
    <font>
      <sz val="10"/>
      <color theme="1"/>
      <name val="Verdana"/>
      <charset val="134"/>
      <scheme val="minor"/>
    </font>
    <font>
      <b/>
      <sz val="10"/>
      <color rgb="FF000000"/>
      <name val="Verdana"/>
      <charset val="134"/>
      <scheme val="minor"/>
    </font>
    <font>
      <sz val="10"/>
      <name val="Verdana"/>
      <charset val="134"/>
      <scheme val="minor"/>
    </font>
    <font>
      <b/>
      <sz val="10"/>
      <color theme="1"/>
      <name val="Verdana"/>
      <charset val="134"/>
    </font>
    <font>
      <sz val="10"/>
      <color theme="1"/>
      <name val="Verdana"/>
      <charset val="134"/>
    </font>
    <font>
      <b/>
      <sz val="10"/>
      <color rgb="FFFF0000"/>
      <name val="Verdana"/>
      <charset val="134"/>
      <scheme val="minor"/>
    </font>
    <font>
      <sz val="9"/>
      <color rgb="FFF7981D"/>
      <name val="Verdana"/>
      <charset val="134"/>
      <scheme val="minor"/>
    </font>
    <font>
      <b/>
      <sz val="10"/>
      <color rgb="FFFFFFFF"/>
      <name val="Verdana"/>
      <charset val="134"/>
      <scheme val="minor"/>
    </font>
    <font>
      <b/>
      <sz val="12"/>
      <color theme="1"/>
      <name val="Verdana"/>
      <charset val="134"/>
      <scheme val="minor"/>
    </font>
    <font>
      <sz val="12"/>
      <color theme="1"/>
      <name val="Verdana"/>
      <charset val="134"/>
      <scheme val="minor"/>
    </font>
    <font>
      <sz val="10"/>
      <color rgb="FFE27228"/>
      <name val="Verdana"/>
      <charset val="134"/>
      <scheme val="minor"/>
    </font>
    <font>
      <b/>
      <sz val="10"/>
      <color rgb="FF5B95F9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8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b/>
      <sz val="11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  <font>
      <sz val="10"/>
      <name val="SimSun"/>
      <charset val="134"/>
    </font>
  </fonts>
  <fills count="46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theme="0"/>
        <bgColor theme="0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8989EB"/>
        <bgColor rgb="FF8989EB"/>
      </patternFill>
    </fill>
    <fill>
      <patternFill patternType="solid">
        <fgColor rgb="FFE8E7FC"/>
        <bgColor rgb="FFE8E7F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5B95F9"/>
      </left>
      <right style="thin">
        <color rgb="FF5B95F9"/>
      </right>
      <top style="thin">
        <color rgb="FF5B95F9"/>
      </top>
      <bottom style="thin">
        <color rgb="FF5B95F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5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6" borderId="16" applyNumberFormat="0" applyAlignment="0" applyProtection="0">
      <alignment vertical="center"/>
    </xf>
    <xf numFmtId="0" fontId="23" fillId="17" borderId="17" applyNumberFormat="0" applyAlignment="0" applyProtection="0">
      <alignment vertical="center"/>
    </xf>
    <xf numFmtId="0" fontId="24" fillId="17" borderId="16" applyNumberFormat="0" applyAlignment="0" applyProtection="0">
      <alignment vertical="center"/>
    </xf>
    <xf numFmtId="0" fontId="25" fillId="18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</cellStyleXfs>
  <cellXfs count="20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180" fontId="2" fillId="4" borderId="0" xfId="0" applyNumberFormat="1" applyFont="1" applyFill="1" applyAlignment="1">
      <alignment horizontal="center"/>
    </xf>
    <xf numFmtId="181" fontId="2" fillId="4" borderId="0" xfId="0" applyNumberFormat="1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80" fontId="2" fillId="0" borderId="0" xfId="0" applyNumberFormat="1" applyFont="1" applyAlignment="1">
      <alignment horizontal="center"/>
    </xf>
    <xf numFmtId="181" fontId="2" fillId="0" borderId="0" xfId="0" applyNumberFormat="1" applyFont="1" applyAlignment="1"/>
    <xf numFmtId="181" fontId="2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1" fontId="2" fillId="3" borderId="0" xfId="0" applyNumberFormat="1" applyFont="1" applyFill="1"/>
    <xf numFmtId="0" fontId="2" fillId="0" borderId="0" xfId="0" applyFont="1"/>
    <xf numFmtId="181" fontId="2" fillId="4" borderId="0" xfId="0" applyNumberFormat="1" applyFont="1" applyFill="1"/>
    <xf numFmtId="180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4" fontId="2" fillId="0" borderId="0" xfId="0" applyNumberFormat="1" applyFont="1"/>
    <xf numFmtId="58" fontId="2" fillId="0" borderId="0" xfId="0" applyNumberFormat="1" applyFont="1"/>
    <xf numFmtId="58" fontId="2" fillId="0" borderId="0" xfId="0" applyNumberFormat="1" applyFont="1" applyAlignment="1"/>
    <xf numFmtId="10" fontId="2" fillId="0" borderId="0" xfId="0" applyNumberFormat="1" applyFont="1"/>
    <xf numFmtId="0" fontId="1" fillId="0" borderId="0" xfId="0" applyFont="1" applyAlignment="1">
      <alignment horizontal="right" vertical="center"/>
    </xf>
    <xf numFmtId="181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0" fontId="0" fillId="3" borderId="0" xfId="0" applyFont="1" applyFill="1" applyAlignment="1"/>
    <xf numFmtId="0" fontId="2" fillId="0" borderId="0" xfId="0" applyFont="1" applyAlignment="1">
      <alignment horizontal="right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81" fontId="1" fillId="3" borderId="0" xfId="0" applyNumberFormat="1" applyFont="1" applyFill="1" applyAlignment="1"/>
    <xf numFmtId="0" fontId="2" fillId="7" borderId="0" xfId="0" applyFont="1" applyFill="1" applyAlignment="1">
      <alignment horizontal="center"/>
    </xf>
    <xf numFmtId="181" fontId="2" fillId="7" borderId="0" xfId="0" applyNumberFormat="1" applyFont="1" applyFill="1" applyAlignment="1"/>
    <xf numFmtId="181" fontId="2" fillId="7" borderId="0" xfId="0" applyNumberFormat="1" applyFont="1" applyFill="1" applyAlignment="1">
      <alignment horizontal="right"/>
    </xf>
    <xf numFmtId="181" fontId="2" fillId="3" borderId="0" xfId="0" applyNumberFormat="1" applyFont="1" applyFill="1" applyAlignment="1">
      <alignment horizontal="right"/>
    </xf>
    <xf numFmtId="0" fontId="2" fillId="7" borderId="0" xfId="0" applyFont="1" applyFill="1"/>
    <xf numFmtId="181" fontId="2" fillId="7" borderId="0" xfId="0" applyNumberFormat="1" applyFont="1" applyFill="1"/>
    <xf numFmtId="0" fontId="2" fillId="7" borderId="0" xfId="0" applyFont="1" applyFill="1" applyAlignment="1">
      <alignment horizontal="right"/>
    </xf>
    <xf numFmtId="0" fontId="2" fillId="3" borderId="0" xfId="0" applyFont="1" applyFill="1"/>
    <xf numFmtId="181" fontId="2" fillId="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right"/>
    </xf>
    <xf numFmtId="10" fontId="1" fillId="7" borderId="0" xfId="0" applyNumberFormat="1" applyFont="1" applyFill="1"/>
    <xf numFmtId="10" fontId="1" fillId="7" borderId="0" xfId="0" applyNumberFormat="1" applyFont="1" applyFill="1" applyAlignment="1"/>
    <xf numFmtId="0" fontId="1" fillId="3" borderId="0" xfId="0" applyFont="1" applyFill="1" applyAlignment="1">
      <alignment horizontal="right"/>
    </xf>
    <xf numFmtId="10" fontId="1" fillId="3" borderId="0" xfId="0" applyNumberFormat="1" applyFont="1" applyFill="1"/>
    <xf numFmtId="0" fontId="1" fillId="7" borderId="0" xfId="0" applyFont="1" applyFill="1" applyAlignment="1">
      <alignment horizontal="center"/>
    </xf>
    <xf numFmtId="10" fontId="1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81" fontId="0" fillId="3" borderId="0" xfId="0" applyNumberFormat="1" applyFont="1" applyFill="1" applyAlignment="1">
      <alignment horizontal="right"/>
    </xf>
    <xf numFmtId="10" fontId="2" fillId="0" borderId="0" xfId="0" applyNumberFormat="1" applyFont="1" applyAlignment="1"/>
    <xf numFmtId="0" fontId="2" fillId="9" borderId="0" xfId="0" applyFont="1" applyFill="1" applyAlignment="1"/>
    <xf numFmtId="181" fontId="2" fillId="9" borderId="0" xfId="0" applyNumberFormat="1" applyFont="1" applyFill="1" applyAlignment="1"/>
    <xf numFmtId="182" fontId="2" fillId="3" borderId="0" xfId="0" applyNumberFormat="1" applyFont="1" applyFill="1"/>
    <xf numFmtId="10" fontId="2" fillId="3" borderId="0" xfId="0" applyNumberFormat="1" applyFont="1" applyFill="1" applyAlignment="1"/>
    <xf numFmtId="0" fontId="1" fillId="0" borderId="0" xfId="0" applyFont="1" applyAlignment="1"/>
    <xf numFmtId="10" fontId="1" fillId="0" borderId="0" xfId="0" applyNumberFormat="1" applyFont="1"/>
    <xf numFmtId="10" fontId="2" fillId="9" borderId="0" xfId="0" applyNumberFormat="1" applyFont="1" applyFill="1" applyAlignment="1"/>
    <xf numFmtId="0" fontId="1" fillId="9" borderId="0" xfId="0" applyFont="1" applyFill="1" applyAlignment="1">
      <alignment horizontal="center"/>
    </xf>
    <xf numFmtId="181" fontId="2" fillId="9" borderId="0" xfId="0" applyNumberFormat="1" applyFont="1" applyFill="1"/>
    <xf numFmtId="4" fontId="2" fillId="3" borderId="0" xfId="0" applyNumberFormat="1" applyFont="1" applyFill="1"/>
    <xf numFmtId="181" fontId="3" fillId="7" borderId="0" xfId="0" applyNumberFormat="1" applyFont="1" applyFill="1" applyAlignment="1">
      <alignment horizontal="right"/>
    </xf>
    <xf numFmtId="181" fontId="1" fillId="0" borderId="0" xfId="0" applyNumberFormat="1" applyFont="1"/>
    <xf numFmtId="0" fontId="1" fillId="7" borderId="0" xfId="0" applyFont="1" applyFill="1"/>
    <xf numFmtId="0" fontId="1" fillId="3" borderId="0" xfId="0" applyFont="1" applyFill="1"/>
    <xf numFmtId="0" fontId="1" fillId="10" borderId="0" xfId="0" applyFont="1" applyFill="1" applyAlignment="1">
      <alignment horizontal="center"/>
    </xf>
    <xf numFmtId="181" fontId="2" fillId="10" borderId="0" xfId="0" applyNumberFormat="1" applyFont="1" applyFill="1" applyAlignment="1"/>
    <xf numFmtId="181" fontId="1" fillId="0" borderId="0" xfId="0" applyNumberFormat="1" applyFont="1" applyAlignment="1"/>
    <xf numFmtId="181" fontId="1" fillId="10" borderId="0" xfId="0" applyNumberFormat="1" applyFont="1" applyFill="1" applyAlignment="1"/>
    <xf numFmtId="0" fontId="1" fillId="0" borderId="0" xfId="0" applyFont="1"/>
    <xf numFmtId="0" fontId="1" fillId="11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81" fontId="2" fillId="4" borderId="0" xfId="0" applyNumberFormat="1" applyFont="1" applyFill="1" applyAlignment="1">
      <alignment horizontal="center"/>
    </xf>
    <xf numFmtId="181" fontId="1" fillId="4" borderId="6" xfId="0" applyNumberFormat="1" applyFont="1" applyFill="1" applyBorder="1" applyAlignment="1">
      <alignment horizontal="center" vertical="center"/>
    </xf>
    <xf numFmtId="0" fontId="2" fillId="12" borderId="0" xfId="0" applyFont="1" applyFill="1" applyAlignment="1"/>
    <xf numFmtId="0" fontId="4" fillId="3" borderId="6" xfId="0" applyFont="1" applyFill="1" applyBorder="1"/>
    <xf numFmtId="0" fontId="2" fillId="4" borderId="7" xfId="0" applyFont="1" applyFill="1" applyBorder="1" applyAlignment="1"/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181" fontId="1" fillId="4" borderId="7" xfId="0" applyNumberFormat="1" applyFont="1" applyFill="1" applyBorder="1"/>
    <xf numFmtId="0" fontId="4" fillId="4" borderId="6" xfId="0" applyFont="1" applyFill="1" applyBorder="1"/>
    <xf numFmtId="0" fontId="2" fillId="12" borderId="7" xfId="0" applyFont="1" applyFill="1" applyBorder="1" applyAlignment="1"/>
    <xf numFmtId="0" fontId="2" fillId="12" borderId="0" xfId="0" applyFont="1" applyFill="1" applyAlignment="1">
      <alignment horizontal="center"/>
    </xf>
    <xf numFmtId="181" fontId="2" fillId="12" borderId="0" xfId="0" applyNumberFormat="1" applyFont="1" applyFill="1" applyAlignment="1"/>
    <xf numFmtId="181" fontId="2" fillId="12" borderId="0" xfId="0" applyNumberFormat="1" applyFont="1" applyFill="1" applyAlignment="1">
      <alignment horizontal="center"/>
    </xf>
    <xf numFmtId="181" fontId="1" fillId="12" borderId="6" xfId="0" applyNumberFormat="1" applyFont="1" applyFill="1" applyBorder="1" applyAlignment="1">
      <alignment horizontal="center" vertical="center"/>
    </xf>
    <xf numFmtId="0" fontId="4" fillId="12" borderId="6" xfId="0" applyFont="1" applyFill="1" applyBorder="1"/>
    <xf numFmtId="0" fontId="2" fillId="12" borderId="7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181" fontId="1" fillId="12" borderId="7" xfId="0" applyNumberFormat="1" applyFont="1" applyFill="1" applyBorder="1" applyAlignment="1">
      <alignment horizontal="center"/>
    </xf>
    <xf numFmtId="0" fontId="2" fillId="3" borderId="7" xfId="0" applyFont="1" applyFill="1" applyBorder="1" applyAlignment="1"/>
    <xf numFmtId="0" fontId="2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81" fontId="1" fillId="3" borderId="7" xfId="0" applyNumberFormat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4" fillId="0" borderId="8" xfId="0" applyFont="1" applyBorder="1"/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6" fillId="12" borderId="0" xfId="0" applyFont="1" applyFill="1" applyAlignment="1"/>
    <xf numFmtId="0" fontId="6" fillId="12" borderId="0" xfId="0" applyFont="1" applyFill="1" applyAlignment="1">
      <alignment horizontal="center"/>
    </xf>
    <xf numFmtId="181" fontId="6" fillId="12" borderId="0" xfId="0" applyNumberFormat="1" applyFont="1" applyFill="1" applyAlignment="1">
      <alignment horizontal="center"/>
    </xf>
    <xf numFmtId="181" fontId="6" fillId="12" borderId="10" xfId="0" applyNumberFormat="1" applyFont="1" applyFill="1" applyBorder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81" fontId="6" fillId="3" borderId="0" xfId="0" applyNumberFormat="1" applyFont="1" applyFill="1" applyAlignment="1">
      <alignment horizontal="center"/>
    </xf>
    <xf numFmtId="0" fontId="4" fillId="0" borderId="6" xfId="0" applyFont="1" applyBorder="1"/>
    <xf numFmtId="0" fontId="6" fillId="12" borderId="8" xfId="0" applyFont="1" applyFill="1" applyBorder="1" applyAlignment="1"/>
    <xf numFmtId="0" fontId="6" fillId="12" borderId="8" xfId="0" applyFont="1" applyFill="1" applyBorder="1" applyAlignment="1">
      <alignment horizontal="center"/>
    </xf>
    <xf numFmtId="181" fontId="6" fillId="12" borderId="8" xfId="0" applyNumberFormat="1" applyFont="1" applyFill="1" applyBorder="1" applyAlignment="1">
      <alignment horizontal="center"/>
    </xf>
    <xf numFmtId="181" fontId="6" fillId="12" borderId="9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81" fontId="5" fillId="3" borderId="10" xfId="0" applyNumberFormat="1" applyFont="1" applyFill="1" applyBorder="1" applyAlignment="1">
      <alignment horizontal="center"/>
    </xf>
    <xf numFmtId="181" fontId="7" fillId="12" borderId="6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81" fontId="2" fillId="12" borderId="0" xfId="0" applyNumberFormat="1" applyFont="1" applyFill="1" applyAlignment="1">
      <alignment horizontal="right"/>
    </xf>
    <xf numFmtId="181" fontId="2" fillId="12" borderId="7" xfId="0" applyNumberFormat="1" applyFont="1" applyFill="1" applyBorder="1" applyAlignment="1">
      <alignment horizontal="center"/>
    </xf>
    <xf numFmtId="181" fontId="2" fillId="3" borderId="7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58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/>
    <xf numFmtId="58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/>
    <xf numFmtId="4" fontId="1" fillId="2" borderId="2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0" fontId="2" fillId="10" borderId="0" xfId="0" applyFont="1" applyFill="1"/>
    <xf numFmtId="4" fontId="2" fillId="4" borderId="0" xfId="0" applyNumberFormat="1" applyFont="1" applyFill="1"/>
    <xf numFmtId="0" fontId="8" fillId="4" borderId="0" xfId="0" applyFont="1" applyFill="1"/>
    <xf numFmtId="0" fontId="2" fillId="4" borderId="0" xfId="0" applyFont="1" applyFill="1"/>
    <xf numFmtId="181" fontId="2" fillId="10" borderId="0" xfId="0" applyNumberFormat="1" applyFont="1" applyFill="1"/>
    <xf numFmtId="49" fontId="9" fillId="1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14" borderId="0" xfId="0" applyFont="1" applyFill="1" applyAlignment="1"/>
    <xf numFmtId="181" fontId="2" fillId="14" borderId="0" xfId="0" applyNumberFormat="1" applyFont="1" applyFill="1" applyAlignment="1"/>
    <xf numFmtId="10" fontId="2" fillId="14" borderId="0" xfId="0" applyNumberFormat="1" applyFont="1" applyFill="1" applyAlignment="1"/>
    <xf numFmtId="181" fontId="2" fillId="14" borderId="0" xfId="0" applyNumberFormat="1" applyFont="1" applyFill="1"/>
    <xf numFmtId="181" fontId="2" fillId="14" borderId="0" xfId="0" applyNumberFormat="1" applyFont="1" applyFill="1" applyAlignment="1">
      <alignment horizontal="center" vertical="center"/>
    </xf>
    <xf numFmtId="0" fontId="1" fillId="3" borderId="11" xfId="0" applyFont="1" applyFill="1" applyBorder="1" applyAlignment="1"/>
    <xf numFmtId="181" fontId="1" fillId="3" borderId="11" xfId="0" applyNumberFormat="1" applyFont="1" applyFill="1" applyBorder="1" applyAlignment="1"/>
    <xf numFmtId="10" fontId="1" fillId="3" borderId="11" xfId="0" applyNumberFormat="1" applyFont="1" applyFill="1" applyBorder="1" applyAlignment="1"/>
    <xf numFmtId="0" fontId="2" fillId="3" borderId="11" xfId="0" applyFont="1" applyFill="1" applyBorder="1"/>
    <xf numFmtId="0" fontId="9" fillId="1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81" fontId="2" fillId="3" borderId="0" xfId="0" applyNumberFormat="1" applyFont="1" applyFill="1" applyAlignment="1">
      <alignment horizontal="center" vertical="center"/>
    </xf>
    <xf numFmtId="183" fontId="2" fillId="3" borderId="0" xfId="0" applyNumberFormat="1" applyFont="1" applyFill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/>
    <xf numFmtId="0" fontId="11" fillId="0" borderId="3" xfId="0" applyFont="1" applyBorder="1" applyAlignment="1"/>
    <xf numFmtId="181" fontId="11" fillId="0" borderId="3" xfId="0" applyNumberFormat="1" applyFont="1" applyBorder="1" applyAlignment="1"/>
    <xf numFmtId="0" fontId="11" fillId="0" borderId="3" xfId="0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181" fontId="11" fillId="0" borderId="0" xfId="0" applyNumberFormat="1" applyFont="1" applyAlignment="1"/>
    <xf numFmtId="9" fontId="11" fillId="0" borderId="3" xfId="0" applyNumberFormat="1" applyFont="1" applyBorder="1" applyAlignment="1">
      <alignment horizontal="center"/>
    </xf>
    <xf numFmtId="0" fontId="11" fillId="0" borderId="3" xfId="0" applyFont="1" applyBorder="1"/>
    <xf numFmtId="181" fontId="11" fillId="0" borderId="3" xfId="0" applyNumberFormat="1" applyFont="1" applyBorder="1"/>
    <xf numFmtId="2" fontId="11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80" fontId="2" fillId="0" borderId="0" xfId="0" applyNumberFormat="1" applyFont="1" applyAlignment="1"/>
    <xf numFmtId="2" fontId="1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right" wrapText="1"/>
    </xf>
    <xf numFmtId="0" fontId="1" fillId="5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81" fontId="1" fillId="5" borderId="11" xfId="0" applyNumberFormat="1" applyFont="1" applyFill="1" applyBorder="1"/>
    <xf numFmtId="2" fontId="1" fillId="5" borderId="11" xfId="0" applyNumberFormat="1" applyFont="1" applyFill="1" applyBorder="1" applyAlignment="1">
      <alignment horizontal="center"/>
    </xf>
    <xf numFmtId="0" fontId="2" fillId="0" borderId="12" xfId="0" applyFont="1" applyBorder="1"/>
    <xf numFmtId="0" fontId="1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horizontal="right"/>
    </xf>
    <xf numFmtId="0" fontId="1" fillId="0" borderId="0" xfId="0" applyFont="1" applyFill="1" applyAlignment="1"/>
    <xf numFmtId="10" fontId="1" fillId="0" borderId="0" xfId="0" applyNumberFormat="1" applyFont="1" applyFill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181" fontId="2" fillId="0" borderId="0" xfId="0" applyNumberFormat="1" applyFont="1" applyBorder="1" applyAlignment="1"/>
    <xf numFmtId="181" fontId="2" fillId="0" borderId="0" xfId="0" applyNumberFormat="1" applyFont="1" applyBorder="1"/>
    <xf numFmtId="10" fontId="2" fillId="0" borderId="0" xfId="0" applyNumberFormat="1" applyFont="1" applyBorder="1"/>
    <xf numFmtId="0" fontId="7" fillId="0" borderId="0" xfId="0" applyFont="1" applyAlignment="1"/>
    <xf numFmtId="181" fontId="7" fillId="0" borderId="0" xfId="0" applyNumberFormat="1" applyFont="1"/>
    <xf numFmtId="10" fontId="1" fillId="5" borderId="11" xfId="0" applyNumberFormat="1" applyFont="1" applyFill="1" applyBorder="1" applyAlignment="1">
      <alignment horizontal="right"/>
    </xf>
    <xf numFmtId="181" fontId="1" fillId="5" borderId="11" xfId="0" applyNumberFormat="1" applyFont="1" applyFill="1" applyBorder="1" applyAlignment="1">
      <alignment horizontal="right"/>
    </xf>
    <xf numFmtId="0" fontId="2" fillId="0" borderId="0" xfId="0" applyFont="1" applyAlignment="1" quotePrefix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55"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color rgb="FF0000FF"/>
      </font>
      <fill>
        <patternFill patternType="solid">
          <fgColor theme="0"/>
          <bgColor theme="0"/>
        </patternFill>
      </fill>
    </dxf>
    <dxf>
      <font>
        <color theme="4"/>
      </font>
      <fill>
        <patternFill patternType="solid">
          <fgColor rgb="FFFFFFFF"/>
          <bgColor rgb="FFFFFFFF"/>
        </patternFill>
      </fill>
    </dxf>
    <dxf>
      <font>
        <color theme="5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E91D63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5B95F9"/>
      </font>
      <fill>
        <patternFill patternType="none"/>
      </fill>
    </dxf>
    <dxf>
      <font>
        <color rgb="FFFF0000"/>
      </font>
      <fill>
        <patternFill patternType="none"/>
      </fill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6">
    <tableStyle name="dCarteira-style" pivot="0" count="3" xr9:uid="{E99700B0-55FE-45B6-9644-3E49F83FAAB8}">
      <tableStyleElement type="headerRow" dxfId="40"/>
      <tableStyleElement type="firstRowStripe" dxfId="39"/>
      <tableStyleElement type="secondRowStripe" dxfId="38"/>
    </tableStyle>
    <tableStyle name="dCarteira-style 2" pivot="0" count="2" xr9:uid="{8293497A-58C6-4F5F-B9D8-B321564B6921}">
      <tableStyleElement type="firstRowStripe" dxfId="42"/>
      <tableStyleElement type="secondRowStripe" dxfId="41"/>
    </tableStyle>
    <tableStyle name="PM_2-style" pivot="0" count="3" xr9:uid="{0CA97729-F262-444E-8A62-9CE9A07D5937}">
      <tableStyleElement type="headerRow" dxfId="45"/>
      <tableStyleElement type="firstRowStripe" dxfId="44"/>
      <tableStyleElement type="secondRowStripe" dxfId="43"/>
    </tableStyle>
    <tableStyle name="PM_2-style 2" pivot="0" count="3" xr9:uid="{34CFEBC6-305F-41D6-8E58-A59D1047A2E2}">
      <tableStyleElement type="headerRow" dxfId="48"/>
      <tableStyleElement type="firstRowStripe" dxfId="47"/>
      <tableStyleElement type="secondRowStripe" dxfId="46"/>
    </tableStyle>
    <tableStyle name="PM_2-style 3" pivot="0" count="3" xr9:uid="{7C85B3CF-0320-4F33-8C22-8902C266E4C1}">
      <tableStyleElement type="headerRow" dxfId="51"/>
      <tableStyleElement type="firstRowStripe" dxfId="50"/>
      <tableStyleElement type="secondRowStripe" dxfId="49"/>
    </tableStyle>
    <tableStyle name="PM_2-style 4" pivot="0" count="3" xr9:uid="{A83ECC71-EA48-46F2-827C-20E13613EDD5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M28">
  <tableColumns count="13">
    <tableColumn id="1" name="Ticker" dataDxfId="0"/>
    <tableColumn id="2" name="Cotas" dataDxfId="1"/>
    <tableColumn id="3" name="Segmento" dataDxfId="2"/>
    <tableColumn id="4" name="Rendimento por Cota" dataDxfId="3"/>
    <tableColumn id="5" name="Rendimento Total" dataDxfId="4"/>
    <tableColumn id="6" name="YoC       (% a.m.)" dataDxfId="5"/>
    <tableColumn id="7" name="DY         (% a.m.)" dataDxfId="6"/>
    <tableColumn id="8" name="Valor de Mercado" dataDxfId="7"/>
    <tableColumn id="9" name="% PL" dataDxfId="8"/>
    <tableColumn id="10" name="Preco Medio" dataDxfId="9"/>
    <tableColumn id="11" name="VP   (12/23)" dataDxfId="10"/>
    <tableColumn id="12" name="Cotacao Atual" dataDxfId="11"/>
    <tableColumn id="13" name="Resultado" dataDxfId="12"/>
  </tableColumns>
  <tableStyleInfo name="dCarteira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P7:P12" headerRowCount="0">
  <tableColumns count="1">
    <tableColumn id="1" name="Column1" dataDxfId="13"/>
  </tableColumns>
  <tableStyleInfo name="dCarteira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D1000">
  <tableColumns count="4">
    <tableColumn id="1" name="Ticker" dataDxfId="22"/>
    <tableColumn id="2" name="Nr Cotas" dataDxfId="23"/>
    <tableColumn id="3" name="Preco Final" dataDxfId="24"/>
    <tableColumn id="4" name="Data da Operacao" dataDxfId="25"/>
  </tableColumns>
  <tableStyleInfo name="PM_2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F1:G43">
  <tableColumns count="2">
    <tableColumn id="1" name="TICKER" dataDxfId="26"/>
    <tableColumn id="2" name="PREÇO MÉDIO" dataDxfId="27"/>
  </tableColumns>
  <tableStyleInfo name="PM_2-style 2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V2:Z9">
  <tableColumns count="5">
    <tableColumn id="1" name="INDEXADOR" dataDxfId="28"/>
    <tableColumn id="2" name="TAXA MÉDIA" dataDxfId="29"/>
    <tableColumn id="3" name="ACUMULADO" dataDxfId="30"/>
    <tableColumn id="4" name="TAXA TOTAL" dataDxfId="31"/>
    <tableColumn id="5" name="% PL" dataDxfId="32"/>
  </tableColumns>
  <tableStyleInfo name="PM_2-style 3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V12:Z19">
  <tableColumns count="5">
    <tableColumn id="1" name="INDEXADOR" dataDxfId="33"/>
    <tableColumn id="2" name="TAXA MÉDIA" dataDxfId="34"/>
    <tableColumn id="3" name="ACUMULADO" dataDxfId="35"/>
    <tableColumn id="4" name="TAXA TOTAL" dataDxfId="36"/>
    <tableColumn id="5" name="% PL" dataDxfId="37"/>
  </tableColumns>
  <tableStyleInfo name="PM_2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2.xml"/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1014"/>
  <sheetViews>
    <sheetView showGridLines="0" workbookViewId="0">
      <pane ySplit="1" topLeftCell="A2" activePane="bottomLeft" state="frozen"/>
      <selection/>
      <selection pane="bottomLeft" activeCell="M29" sqref="M29"/>
    </sheetView>
  </sheetViews>
  <sheetFormatPr defaultColWidth="11.2166666666667" defaultRowHeight="15.75" customHeight="1"/>
  <cols>
    <col min="1" max="1" width="9.44166666666667" customWidth="1"/>
    <col min="2" max="2" width="7.10833333333333" customWidth="1"/>
    <col min="3" max="3" width="9.10833333333333" customWidth="1"/>
    <col min="4" max="4" width="10.4416666666667" customWidth="1"/>
    <col min="6" max="7" width="8.78333333333333" customWidth="1"/>
    <col min="8" max="8" width="19.5" customWidth="1"/>
    <col min="9" max="9" width="13.125" customWidth="1"/>
    <col min="11" max="11" width="9.89166666666667" customWidth="1"/>
    <col min="13" max="13" width="17.625" customWidth="1"/>
    <col min="14" max="14" width="8.55833333333333" customWidth="1"/>
    <col min="15" max="15" width="8.66666666666667" customWidth="1"/>
  </cols>
  <sheetData>
    <row r="1" customHeight="1" spans="1:30">
      <c r="A1" s="23" t="s">
        <v>0</v>
      </c>
      <c r="B1" s="23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3" t="s">
        <v>12</v>
      </c>
      <c r="N1" s="185"/>
      <c r="O1" s="186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</row>
    <row r="2" customHeight="1" spans="1:15">
      <c r="A2" s="12" t="s">
        <v>13</v>
      </c>
      <c r="B2" s="12">
        <v>595</v>
      </c>
      <c r="C2" s="12" t="s">
        <v>14</v>
      </c>
      <c r="D2" s="176">
        <v>0.83</v>
      </c>
      <c r="E2" s="15">
        <f t="shared" ref="E2:E28" si="0">B2*D2</f>
        <v>493.85</v>
      </c>
      <c r="F2" s="177">
        <f t="shared" ref="F2:F28" si="1">D2*100/J2</f>
        <v>0.783553691152513</v>
      </c>
      <c r="G2" s="177">
        <f t="shared" ref="G2:G28" si="2">D2*100/L2</f>
        <v>0.857881136950904</v>
      </c>
      <c r="H2" s="31">
        <f>IFERROR(__xludf.DUMMYFUNCTION("B2*GOOGLEFINANCE(A2)"),57566.25)</f>
        <v>57566.25</v>
      </c>
      <c r="I2" s="188">
        <f t="shared" ref="I2:I28" si="3">H2/$H$29</f>
        <v>0.0940347228803884</v>
      </c>
      <c r="J2" s="31">
        <f>SUMPRODUCT((PM_2!$F$2:$F1014=A2)*PM_2!$G$2:$G1014)</f>
        <v>105.927648528995</v>
      </c>
      <c r="K2" s="14">
        <v>116.62</v>
      </c>
      <c r="L2" s="15">
        <f>IFERROR(__xludf.DUMMYFUNCTION("googlefinance(A2)"),96.75)</f>
        <v>96.75</v>
      </c>
      <c r="M2" s="31">
        <f t="shared" ref="M2:M28" si="4">(L2-J2)*B2</f>
        <v>-5460.70087475195</v>
      </c>
      <c r="N2" s="189"/>
      <c r="O2" s="190"/>
    </row>
    <row r="3" customHeight="1" spans="1:15">
      <c r="A3" s="12" t="s">
        <v>15</v>
      </c>
      <c r="B3" s="12">
        <v>338</v>
      </c>
      <c r="C3" s="12" t="s">
        <v>14</v>
      </c>
      <c r="D3" s="176">
        <v>1.1</v>
      </c>
      <c r="E3" s="15">
        <f t="shared" si="0"/>
        <v>371.8</v>
      </c>
      <c r="F3" s="177">
        <f t="shared" si="1"/>
        <v>0.657520302007651</v>
      </c>
      <c r="G3" s="177">
        <f t="shared" si="2"/>
        <v>0.714285714285714</v>
      </c>
      <c r="H3" s="31">
        <f>IFERROR(__xludf.DUMMYFUNCTION("B3*GOOGLEFINANCE(A3)"),52052)</f>
        <v>52052</v>
      </c>
      <c r="I3" s="188">
        <f t="shared" si="3"/>
        <v>0.0850271712222001</v>
      </c>
      <c r="J3" s="31">
        <f>SUMPRODUCT((PM_2!$F$2:$F1014=A3)*PM_2!$G$2:$G1014)</f>
        <v>167.295214557071</v>
      </c>
      <c r="K3" s="14">
        <v>157.06</v>
      </c>
      <c r="L3" s="15">
        <f>IFERROR(__xludf.DUMMYFUNCTION("googlefinance(A3)"),154)</f>
        <v>154</v>
      </c>
      <c r="M3" s="31">
        <f t="shared" si="4"/>
        <v>-4493.78252028995</v>
      </c>
      <c r="N3" s="186"/>
      <c r="O3" s="186"/>
    </row>
    <row r="4" customHeight="1" spans="1:15">
      <c r="A4" s="12" t="s">
        <v>16</v>
      </c>
      <c r="B4" s="12">
        <v>688</v>
      </c>
      <c r="C4" s="12" t="s">
        <v>17</v>
      </c>
      <c r="D4" s="176">
        <v>0</v>
      </c>
      <c r="E4" s="15">
        <f t="shared" si="0"/>
        <v>0</v>
      </c>
      <c r="F4" s="177">
        <f t="shared" si="1"/>
        <v>0</v>
      </c>
      <c r="G4" s="177">
        <f t="shared" si="2"/>
        <v>0</v>
      </c>
      <c r="H4" s="178">
        <f>IFERROR(__xludf.DUMMYFUNCTION("B4*GOOGLEFINANCE(A4)"),43825.6)</f>
        <v>43825.6</v>
      </c>
      <c r="I4" s="188">
        <f t="shared" si="3"/>
        <v>0.0715893105954748</v>
      </c>
      <c r="J4" s="31">
        <f>SUMPRODUCT((PM_2!$F$2:$F1014=A4)*PM_2!$G$2:$G1014)</f>
        <v>105.699533643729</v>
      </c>
      <c r="K4" s="14">
        <v>86.74</v>
      </c>
      <c r="L4" s="15">
        <f>IFERROR(__xludf.DUMMYFUNCTION("googlefinance(A4)"),63.7)</f>
        <v>63.7</v>
      </c>
      <c r="M4" s="31">
        <f t="shared" si="4"/>
        <v>-28895.6791468853</v>
      </c>
      <c r="N4" s="186"/>
      <c r="O4" s="186"/>
    </row>
    <row r="5" customHeight="1" spans="1:13">
      <c r="A5" s="12" t="s">
        <v>18</v>
      </c>
      <c r="B5" s="12">
        <v>387</v>
      </c>
      <c r="C5" s="12" t="s">
        <v>19</v>
      </c>
      <c r="D5" s="176">
        <v>1.1</v>
      </c>
      <c r="E5" s="15">
        <f t="shared" si="0"/>
        <v>425.7</v>
      </c>
      <c r="F5" s="177">
        <f t="shared" si="1"/>
        <v>0.883970047454846</v>
      </c>
      <c r="G5" s="177">
        <f t="shared" si="2"/>
        <v>1.25227686703097</v>
      </c>
      <c r="H5" s="31">
        <f>IFERROR(__xludf.DUMMYFUNCTION("B5*GOOGLEFINANCE(A5)"),33994.08)</f>
        <v>33994.08</v>
      </c>
      <c r="I5" s="188">
        <f t="shared" si="3"/>
        <v>0.0555294793802576</v>
      </c>
      <c r="J5" s="31">
        <f>SUMPRODUCT((PM_2!$F$2:$F1014=A5)*PM_2!$G$2:$G1014)</f>
        <v>124.438605489762</v>
      </c>
      <c r="K5" s="14">
        <v>118.12</v>
      </c>
      <c r="L5" s="15">
        <f>IFERROR(__xludf.DUMMYFUNCTION("googlefinance(A5)"),87.84)</f>
        <v>87.84</v>
      </c>
      <c r="M5" s="31">
        <f t="shared" si="4"/>
        <v>-14163.660324538</v>
      </c>
    </row>
    <row r="6" customHeight="1" spans="1:13">
      <c r="A6" s="12" t="s">
        <v>20</v>
      </c>
      <c r="B6" s="12">
        <v>553</v>
      </c>
      <c r="C6" s="12" t="s">
        <v>17</v>
      </c>
      <c r="D6" s="176">
        <v>0</v>
      </c>
      <c r="E6" s="15">
        <f t="shared" si="0"/>
        <v>0</v>
      </c>
      <c r="F6" s="177">
        <f t="shared" si="1"/>
        <v>0</v>
      </c>
      <c r="G6" s="177">
        <f t="shared" si="2"/>
        <v>0</v>
      </c>
      <c r="H6" s="31">
        <f>IFERROR(__xludf.DUMMYFUNCTION("B6*GOOGLEFINANCE(A6)"),41038.13)</f>
        <v>41038.13</v>
      </c>
      <c r="I6" s="188">
        <f t="shared" si="3"/>
        <v>0.0670359660752499</v>
      </c>
      <c r="J6" s="31">
        <f>SUMPRODUCT((PM_2!$F$2:$F1014=A6)*PM_2!$G$2:$G1014)</f>
        <v>95.7070356404031</v>
      </c>
      <c r="K6" s="14">
        <v>93.54</v>
      </c>
      <c r="L6" s="15">
        <f>IFERROR(__xludf.DUMMYFUNCTION("googlefinance(A6)"),74.21)</f>
        <v>74.21</v>
      </c>
      <c r="M6" s="31">
        <f t="shared" si="4"/>
        <v>-11887.8607091429</v>
      </c>
    </row>
    <row r="7" customHeight="1" spans="1:16">
      <c r="A7" s="12" t="s">
        <v>21</v>
      </c>
      <c r="B7" s="12">
        <v>355</v>
      </c>
      <c r="C7" s="12" t="s">
        <v>14</v>
      </c>
      <c r="D7" s="176">
        <v>0.78</v>
      </c>
      <c r="E7" s="15">
        <f t="shared" si="0"/>
        <v>276.9</v>
      </c>
      <c r="F7" s="177">
        <f t="shared" si="1"/>
        <v>0.512566488502665</v>
      </c>
      <c r="G7" s="177">
        <f t="shared" si="2"/>
        <v>0.770750988142292</v>
      </c>
      <c r="H7" s="31">
        <f>IFERROR(__xludf.DUMMYFUNCTION("B7*GOOGLEFINANCE(A7)"),35926)</f>
        <v>35926</v>
      </c>
      <c r="I7" s="188">
        <f t="shared" si="3"/>
        <v>0.0586852792078837</v>
      </c>
      <c r="J7" s="31">
        <f>SUMPRODUCT((PM_2!$F$2:$F1014=A7)*PM_2!$G$2:$G1014)</f>
        <v>152.175379681683</v>
      </c>
      <c r="K7" s="15">
        <v>153.33</v>
      </c>
      <c r="L7" s="15">
        <f>IFERROR(__xludf.DUMMYFUNCTION("googlefinance(A7)"),101.2)</f>
        <v>101.2</v>
      </c>
      <c r="M7" s="31">
        <f t="shared" si="4"/>
        <v>-18096.2597869974</v>
      </c>
      <c r="P7" s="20"/>
    </row>
    <row r="8" customHeight="1" spans="1:16">
      <c r="A8" s="12" t="s">
        <v>22</v>
      </c>
      <c r="B8" s="12">
        <v>390</v>
      </c>
      <c r="C8" s="12" t="s">
        <v>19</v>
      </c>
      <c r="D8" s="176">
        <v>1.18</v>
      </c>
      <c r="E8" s="15">
        <f t="shared" si="0"/>
        <v>460.2</v>
      </c>
      <c r="F8" s="177">
        <f t="shared" si="1"/>
        <v>1.06564361218023</v>
      </c>
      <c r="G8" s="177">
        <f t="shared" si="2"/>
        <v>1.30170987313844</v>
      </c>
      <c r="H8" s="31">
        <f>IFERROR(__xludf.DUMMYFUNCTION("B8*GOOGLEFINANCE(A8)"),35353.5)</f>
        <v>35353.5</v>
      </c>
      <c r="I8" s="188">
        <f t="shared" si="3"/>
        <v>0.0577500979367565</v>
      </c>
      <c r="J8" s="31">
        <f>SUMPRODUCT((PM_2!$F$2:$F1014=A8)*PM_2!$G$2:$G1014)</f>
        <v>110.73120380141</v>
      </c>
      <c r="K8" s="14">
        <v>109.42</v>
      </c>
      <c r="L8" s="15">
        <f>IFERROR(__xludf.DUMMYFUNCTION("googlefinance(A8)"),90.65)</f>
        <v>90.65</v>
      </c>
      <c r="M8" s="31">
        <f t="shared" si="4"/>
        <v>-7831.66948254998</v>
      </c>
      <c r="N8" s="191"/>
      <c r="O8" s="192"/>
      <c r="P8" s="193"/>
    </row>
    <row r="9" customHeight="1" spans="1:16">
      <c r="A9" s="12" t="s">
        <v>23</v>
      </c>
      <c r="B9" s="12">
        <v>415</v>
      </c>
      <c r="C9" s="12" t="s">
        <v>17</v>
      </c>
      <c r="D9" s="176">
        <v>0</v>
      </c>
      <c r="E9" s="15">
        <f t="shared" si="0"/>
        <v>0</v>
      </c>
      <c r="F9" s="177">
        <f t="shared" si="1"/>
        <v>0</v>
      </c>
      <c r="G9" s="177">
        <f t="shared" si="2"/>
        <v>0</v>
      </c>
      <c r="H9" s="31">
        <f>IFERROR(__xludf.DUMMYFUNCTION("B9*GOOGLEFINANCE(A9)"),34918.1)</f>
        <v>34918.1</v>
      </c>
      <c r="I9" s="188">
        <f t="shared" si="3"/>
        <v>0.0570388701193788</v>
      </c>
      <c r="J9" s="31">
        <f>SUMPRODUCT((PM_2!$F$2:$F1014=A9)*PM_2!$G$2:$G1014)</f>
        <v>98.4076191574324</v>
      </c>
      <c r="K9" s="14">
        <v>94.11</v>
      </c>
      <c r="L9" s="15">
        <f>IFERROR(__xludf.DUMMYFUNCTION("googlefinance(A9)"),84.14)</f>
        <v>84.14</v>
      </c>
      <c r="M9" s="31">
        <f t="shared" si="4"/>
        <v>-5921.06195033443</v>
      </c>
      <c r="N9" s="191"/>
      <c r="O9" s="192"/>
      <c r="P9" s="194"/>
    </row>
    <row r="10" customHeight="1" spans="1:16">
      <c r="A10" s="12" t="s">
        <v>24</v>
      </c>
      <c r="B10" s="12">
        <v>425</v>
      </c>
      <c r="C10" s="12" t="s">
        <v>17</v>
      </c>
      <c r="D10" s="176">
        <v>0</v>
      </c>
      <c r="E10" s="15">
        <f t="shared" si="0"/>
        <v>0</v>
      </c>
      <c r="F10" s="177">
        <f t="shared" si="1"/>
        <v>0</v>
      </c>
      <c r="G10" s="177">
        <f t="shared" si="2"/>
        <v>0</v>
      </c>
      <c r="H10" s="31">
        <f>IFERROR(__xludf.DUMMYFUNCTION("B10*GOOGLEFINANCE(A10)"),34000)</f>
        <v>34000</v>
      </c>
      <c r="I10" s="188">
        <f t="shared" si="3"/>
        <v>0.0555391497263276</v>
      </c>
      <c r="J10" s="31">
        <f>SUMPRODUCT((PM_2!$F$2:$F1014=A10)*PM_2!$G$2:$G1014)</f>
        <v>99.3049130123333</v>
      </c>
      <c r="K10" s="14">
        <v>93.26</v>
      </c>
      <c r="L10" s="15">
        <f>IFERROR(__xludf.DUMMYFUNCTION("googlefinance(A10)"),80)</f>
        <v>80</v>
      </c>
      <c r="M10" s="31">
        <f t="shared" si="4"/>
        <v>-8204.58803024166</v>
      </c>
      <c r="N10" s="191"/>
      <c r="O10" s="192"/>
      <c r="P10" s="193"/>
    </row>
    <row r="11" customHeight="1" spans="1:16">
      <c r="A11" s="12" t="s">
        <v>25</v>
      </c>
      <c r="B11" s="12">
        <v>351</v>
      </c>
      <c r="C11" s="12" t="s">
        <v>14</v>
      </c>
      <c r="D11" s="176">
        <v>0</v>
      </c>
      <c r="E11" s="15">
        <f t="shared" si="0"/>
        <v>0</v>
      </c>
      <c r="F11" s="177">
        <f t="shared" si="1"/>
        <v>0</v>
      </c>
      <c r="G11" s="177">
        <f t="shared" si="2"/>
        <v>0</v>
      </c>
      <c r="H11" s="31">
        <f>IFERROR(__xludf.DUMMYFUNCTION("B11*googlefinance(A11)"),30221.1)</f>
        <v>30221.1</v>
      </c>
      <c r="I11" s="188">
        <f t="shared" si="3"/>
        <v>0.049366299935127</v>
      </c>
      <c r="J11" s="31">
        <f>SUMPRODUCT((PM_2!$F$2:$F1014=A11)*PM_2!$G$2:$G1014)</f>
        <v>95.3449779460683</v>
      </c>
      <c r="K11" s="14">
        <v>101.16</v>
      </c>
      <c r="L11" s="15">
        <f>IFERROR(__xludf.DUMMYFUNCTION("googlefinance(A11)"),86.1)</f>
        <v>86.1</v>
      </c>
      <c r="M11" s="31">
        <f t="shared" si="4"/>
        <v>-3244.98725906998</v>
      </c>
      <c r="N11" s="191"/>
      <c r="O11" s="192"/>
      <c r="P11" s="194"/>
    </row>
    <row r="12" customHeight="1" spans="1:16">
      <c r="A12" s="12" t="s">
        <v>26</v>
      </c>
      <c r="B12" s="12">
        <v>3385</v>
      </c>
      <c r="C12" s="12" t="s">
        <v>17</v>
      </c>
      <c r="D12" s="176">
        <v>0</v>
      </c>
      <c r="E12" s="15">
        <f t="shared" si="0"/>
        <v>0</v>
      </c>
      <c r="F12" s="177">
        <f t="shared" si="1"/>
        <v>0</v>
      </c>
      <c r="G12" s="177">
        <f t="shared" si="2"/>
        <v>0</v>
      </c>
      <c r="H12" s="31">
        <f>IFERROR(__xludf.DUMMYFUNCTION("B12*GOOGLEFINANCE(A12)"),26572.25)</f>
        <v>26572.25</v>
      </c>
      <c r="I12" s="188">
        <f t="shared" si="3"/>
        <v>0.0434058873916296</v>
      </c>
      <c r="J12" s="31">
        <f>SUMPRODUCT((PM_2!$F$2:$F1014=A12)*PM_2!$G$2:$G1014)</f>
        <v>9.96569929994135</v>
      </c>
      <c r="K12" s="14">
        <v>9.98</v>
      </c>
      <c r="L12" s="15">
        <f>IFERROR(__xludf.DUMMYFUNCTION("googlefinance(A12)"),7.85)</f>
        <v>7.85</v>
      </c>
      <c r="M12" s="31">
        <f t="shared" si="4"/>
        <v>-7161.64213030148</v>
      </c>
      <c r="N12" s="191"/>
      <c r="O12" s="192"/>
      <c r="P12" s="195"/>
    </row>
    <row r="13" customHeight="1" spans="1:13">
      <c r="A13" s="12" t="s">
        <v>27</v>
      </c>
      <c r="B13" s="12">
        <v>315</v>
      </c>
      <c r="C13" s="12" t="s">
        <v>14</v>
      </c>
      <c r="D13" s="176">
        <v>1.1</v>
      </c>
      <c r="E13" s="15">
        <f t="shared" si="0"/>
        <v>346.5</v>
      </c>
      <c r="F13" s="177">
        <f t="shared" si="1"/>
        <v>1.16874671505351</v>
      </c>
      <c r="G13" s="177">
        <f t="shared" si="2"/>
        <v>1.29503178714387</v>
      </c>
      <c r="H13" s="31">
        <f>IFERROR(__xludf.DUMMYFUNCTION("B13*googlefinance(A13)"),26756.1)</f>
        <v>26756.1</v>
      </c>
      <c r="I13" s="188">
        <f t="shared" si="3"/>
        <v>0.0437062071762527</v>
      </c>
      <c r="J13" s="31">
        <f>SUMPRODUCT((PM_2!$F$2:$F1014=A13)*PM_2!$G$2:$G1014)</f>
        <v>94.1179115912758</v>
      </c>
      <c r="K13" s="14">
        <v>99.53</v>
      </c>
      <c r="L13" s="15">
        <f>IFERROR(__xludf.DUMMYFUNCTION("googlefinance(A13)"),84.94)</f>
        <v>84.94</v>
      </c>
      <c r="M13" s="31">
        <f t="shared" si="4"/>
        <v>-2891.04215125189</v>
      </c>
    </row>
    <row r="14" customHeight="1" spans="1:13">
      <c r="A14" s="12" t="s">
        <v>28</v>
      </c>
      <c r="B14" s="12">
        <v>2895</v>
      </c>
      <c r="C14" s="12" t="s">
        <v>14</v>
      </c>
      <c r="D14" s="176">
        <v>0.05</v>
      </c>
      <c r="E14" s="15">
        <f t="shared" si="0"/>
        <v>144.75</v>
      </c>
      <c r="F14" s="177">
        <f t="shared" si="1"/>
        <v>0.451394671893051</v>
      </c>
      <c r="G14" s="177">
        <f t="shared" si="2"/>
        <v>1.0989010989011</v>
      </c>
      <c r="H14" s="31">
        <f>IFERROR(__xludf.DUMMYFUNCTION("B14*GOOGLEFINANCE(A14)"),13172.25)</f>
        <v>13172.25</v>
      </c>
      <c r="I14" s="188">
        <f t="shared" si="3"/>
        <v>0.0215169283818417</v>
      </c>
      <c r="J14" s="31">
        <f>SUMPRODUCT((PM_2!$F$2:$F1014=A14)*PM_2!$G$2:$G1014)</f>
        <v>11.0767811658722</v>
      </c>
      <c r="K14" s="15">
        <v>10.84</v>
      </c>
      <c r="L14" s="15">
        <f>IFERROR(__xludf.DUMMYFUNCTION("googlefinance(A14)"),4.55)</f>
        <v>4.55</v>
      </c>
      <c r="M14" s="31">
        <f t="shared" si="4"/>
        <v>-18895.0314752</v>
      </c>
    </row>
    <row r="15" customHeight="1" spans="1:13">
      <c r="A15" s="12" t="s">
        <v>29</v>
      </c>
      <c r="B15" s="12">
        <v>180</v>
      </c>
      <c r="C15" s="12" t="s">
        <v>14</v>
      </c>
      <c r="D15" s="176">
        <v>0.87</v>
      </c>
      <c r="E15" s="15">
        <f t="shared" si="0"/>
        <v>156.6</v>
      </c>
      <c r="F15" s="177">
        <f t="shared" si="1"/>
        <v>0.902018655542923</v>
      </c>
      <c r="G15" s="177">
        <f t="shared" si="2"/>
        <v>0.874371859296482</v>
      </c>
      <c r="H15" s="31">
        <f>IFERROR(__xludf.DUMMYFUNCTION("B15*googlefinance(A15)"),17910)</f>
        <v>17910</v>
      </c>
      <c r="I15" s="188">
        <f t="shared" si="3"/>
        <v>0.0292560638705449</v>
      </c>
      <c r="J15" s="31">
        <f>SUMPRODUCT((PM_2!$F$2:$F1014=A15)*PM_2!$G$2:$G1014)</f>
        <v>96.4503333333332</v>
      </c>
      <c r="K15" s="14">
        <v>119.69</v>
      </c>
      <c r="L15" s="15">
        <f>IFERROR(__xludf.DUMMYFUNCTION("googlefinance(A15)"),99.5)</f>
        <v>99.5</v>
      </c>
      <c r="M15" s="31">
        <f t="shared" si="4"/>
        <v>548.940000000021</v>
      </c>
    </row>
    <row r="16" customHeight="1" spans="1:13">
      <c r="A16" s="12" t="s">
        <v>30</v>
      </c>
      <c r="B16" s="12">
        <v>210</v>
      </c>
      <c r="C16" s="12" t="s">
        <v>14</v>
      </c>
      <c r="D16" s="176">
        <v>0</v>
      </c>
      <c r="E16" s="15">
        <f t="shared" si="0"/>
        <v>0</v>
      </c>
      <c r="F16" s="177">
        <f t="shared" si="1"/>
        <v>0</v>
      </c>
      <c r="G16" s="177">
        <f t="shared" si="2"/>
        <v>0</v>
      </c>
      <c r="H16" s="31">
        <f>IFERROR(__xludf.DUMMYFUNCTION("B16*googlefinance(A16)"),19878.6)</f>
        <v>19878.6</v>
      </c>
      <c r="I16" s="188">
        <f t="shared" si="3"/>
        <v>0.0324717806396993</v>
      </c>
      <c r="J16" s="31">
        <f>SUMPRODUCT((PM_2!$F$2:$F1014=A16)*PM_2!$G$2:$G1014)</f>
        <v>97.7171503881062</v>
      </c>
      <c r="K16" s="14">
        <v>100.15</v>
      </c>
      <c r="L16" s="15">
        <f>IFERROR(__xludf.DUMMYFUNCTION("googlefinance(A16)"),94.66)</f>
        <v>94.66</v>
      </c>
      <c r="M16" s="31">
        <f t="shared" si="4"/>
        <v>-642.001581502313</v>
      </c>
    </row>
    <row r="17" customHeight="1" spans="1:13">
      <c r="A17" s="12" t="s">
        <v>31</v>
      </c>
      <c r="B17" s="12">
        <v>195</v>
      </c>
      <c r="C17" s="12" t="s">
        <v>17</v>
      </c>
      <c r="D17" s="176">
        <v>1.2</v>
      </c>
      <c r="E17" s="15">
        <f t="shared" si="0"/>
        <v>234</v>
      </c>
      <c r="F17" s="177">
        <f t="shared" si="1"/>
        <v>1.3933177396983</v>
      </c>
      <c r="G17" s="177">
        <f t="shared" si="2"/>
        <v>1.64383561643836</v>
      </c>
      <c r="H17" s="31">
        <f>IFERROR(__xludf.DUMMYFUNCTION("B17*GOOGLEFINANCE(A17)"),14235)</f>
        <v>14235</v>
      </c>
      <c r="I17" s="188">
        <f t="shared" si="3"/>
        <v>0.0232529351868904</v>
      </c>
      <c r="J17" s="31">
        <f>SUMPRODUCT((PM_2!$F$2:$F1014=A17)*PM_2!$G$2:$G1014)</f>
        <v>86.1253657948717</v>
      </c>
      <c r="K17" s="14">
        <v>89.18</v>
      </c>
      <c r="L17" s="15">
        <f>IFERROR(__xludf.DUMMYFUNCTION("googlefinance(A17)"),73)</f>
        <v>73</v>
      </c>
      <c r="M17" s="31">
        <f t="shared" si="4"/>
        <v>-2559.44632999999</v>
      </c>
    </row>
    <row r="18" customHeight="1" spans="1:15">
      <c r="A18" s="12" t="s">
        <v>32</v>
      </c>
      <c r="B18" s="12">
        <v>215</v>
      </c>
      <c r="C18" s="12" t="s">
        <v>17</v>
      </c>
      <c r="D18" s="176">
        <v>0.95</v>
      </c>
      <c r="E18" s="15">
        <f t="shared" si="0"/>
        <v>204.25</v>
      </c>
      <c r="F18" s="177">
        <f t="shared" si="1"/>
        <v>1.1460734065943</v>
      </c>
      <c r="G18" s="177">
        <f t="shared" si="2"/>
        <v>1.41537544696067</v>
      </c>
      <c r="H18" s="31">
        <f>IFERROR(__xludf.DUMMYFUNCTION("B18*GOOGLEFINANCE(A18)"),14430.8)</f>
        <v>14430.8</v>
      </c>
      <c r="I18" s="188">
        <f t="shared" si="3"/>
        <v>0.0235727753491379</v>
      </c>
      <c r="J18" s="31">
        <f>SUMPRODUCT((PM_2!$F$2:$F1014=A18)*PM_2!$G$2:$G1014)</f>
        <v>82.8917235609755</v>
      </c>
      <c r="K18" s="14">
        <v>91.99</v>
      </c>
      <c r="L18" s="15">
        <f>IFERROR(__xludf.DUMMYFUNCTION("googlefinance(A18)"),67.12)</f>
        <v>67.12</v>
      </c>
      <c r="M18" s="31">
        <f t="shared" si="4"/>
        <v>-3390.92056560974</v>
      </c>
      <c r="N18" s="196"/>
      <c r="O18" s="197"/>
    </row>
    <row r="19" customHeight="1" spans="1:13">
      <c r="A19" s="12" t="s">
        <v>33</v>
      </c>
      <c r="B19" s="12">
        <v>150</v>
      </c>
      <c r="C19" s="12" t="s">
        <v>34</v>
      </c>
      <c r="D19" s="176">
        <v>1</v>
      </c>
      <c r="E19" s="15">
        <f t="shared" si="0"/>
        <v>150</v>
      </c>
      <c r="F19" s="177">
        <f t="shared" si="1"/>
        <v>1.0191988725846</v>
      </c>
      <c r="G19" s="177">
        <f t="shared" si="2"/>
        <v>1.17233294255569</v>
      </c>
      <c r="H19" s="31">
        <f>IFERROR(__xludf.DUMMYFUNCTION("B19*googlefinance(A19)"),12795)</f>
        <v>12795</v>
      </c>
      <c r="I19" s="188">
        <f t="shared" si="3"/>
        <v>0.02090068884554</v>
      </c>
      <c r="J19" s="31">
        <f>SUMPRODUCT((PM_2!$F$2:$F1014=A19)*PM_2!$G$2:$G1014)</f>
        <v>98.1162780786918</v>
      </c>
      <c r="K19" s="14">
        <v>98.92</v>
      </c>
      <c r="L19" s="15">
        <f>IFERROR(__xludf.DUMMYFUNCTION("googlefinance(A19)"),85.3)</f>
        <v>85.3</v>
      </c>
      <c r="M19" s="31">
        <f t="shared" si="4"/>
        <v>-1922.44171180377</v>
      </c>
    </row>
    <row r="20" customHeight="1" spans="1:13">
      <c r="A20" s="12" t="s">
        <v>35</v>
      </c>
      <c r="B20" s="12">
        <v>87</v>
      </c>
      <c r="C20" s="12" t="s">
        <v>14</v>
      </c>
      <c r="D20" s="176">
        <v>1</v>
      </c>
      <c r="E20" s="15">
        <f t="shared" si="0"/>
        <v>87</v>
      </c>
      <c r="F20" s="177">
        <f t="shared" si="1"/>
        <v>0.656015668005313</v>
      </c>
      <c r="G20" s="177">
        <f t="shared" si="2"/>
        <v>0.971722864639005</v>
      </c>
      <c r="H20" s="31">
        <f>IFERROR(__xludf.DUMMYFUNCTION("B20*GOOGLEFINANCE(A20)"),8953.17)</f>
        <v>8953.17</v>
      </c>
      <c r="I20" s="188">
        <f t="shared" si="3"/>
        <v>0.0146250426222137</v>
      </c>
      <c r="J20" s="31">
        <f>SUMPRODUCT((PM_2!$F$2:$F1014=A20)*PM_2!$G$2:$G1014)</f>
        <v>152.4353836</v>
      </c>
      <c r="K20" s="14">
        <v>145.61</v>
      </c>
      <c r="L20" s="15">
        <f>IFERROR(__xludf.DUMMYFUNCTION("googlefinance(A20)"),102.91)</f>
        <v>102.91</v>
      </c>
      <c r="M20" s="31">
        <f t="shared" si="4"/>
        <v>-4308.70837319999</v>
      </c>
    </row>
    <row r="21" customHeight="1" spans="1:13">
      <c r="A21" s="12" t="s">
        <v>36</v>
      </c>
      <c r="B21" s="12">
        <v>185</v>
      </c>
      <c r="C21" s="12" t="s">
        <v>34</v>
      </c>
      <c r="D21" s="176">
        <v>0</v>
      </c>
      <c r="E21" s="15">
        <f t="shared" si="0"/>
        <v>0</v>
      </c>
      <c r="F21" s="177">
        <f t="shared" si="1"/>
        <v>0</v>
      </c>
      <c r="G21" s="177">
        <f t="shared" si="2"/>
        <v>0</v>
      </c>
      <c r="H21" s="31">
        <f>IFERROR(__xludf.DUMMYFUNCTION("B21*GOOGLEFINANCE(A21)"),13745.5)</f>
        <v>13745.5</v>
      </c>
      <c r="I21" s="188">
        <f t="shared" si="3"/>
        <v>0.0224533347812716</v>
      </c>
      <c r="J21" s="31">
        <f>SUMPRODUCT((PM_2!$F$2:$F1014=A21)*PM_2!$G$2:$G1014)</f>
        <v>88.7564432432432</v>
      </c>
      <c r="K21" s="14">
        <v>88.38</v>
      </c>
      <c r="L21" s="15">
        <f>IFERROR(__xludf.DUMMYFUNCTION("googlefinance(A21)"),74.3)</f>
        <v>74.3</v>
      </c>
      <c r="M21" s="31">
        <f t="shared" si="4"/>
        <v>-2674.44199999999</v>
      </c>
    </row>
    <row r="22" customHeight="1" spans="1:13">
      <c r="A22" s="12" t="s">
        <v>37</v>
      </c>
      <c r="B22" s="12">
        <v>45</v>
      </c>
      <c r="C22" s="12" t="s">
        <v>14</v>
      </c>
      <c r="D22" s="176">
        <v>1.6</v>
      </c>
      <c r="E22" s="15">
        <f t="shared" si="0"/>
        <v>72</v>
      </c>
      <c r="F22" s="177">
        <f t="shared" si="1"/>
        <v>0.901344975705936</v>
      </c>
      <c r="G22" s="177">
        <f t="shared" si="2"/>
        <v>0.862766244270693</v>
      </c>
      <c r="H22" s="31">
        <f>IFERROR(__xludf.DUMMYFUNCTION("B22*GOOGLEFINANCE(A22)"),8345.25)</f>
        <v>8345.25</v>
      </c>
      <c r="I22" s="188">
        <f t="shared" si="3"/>
        <v>0.0136320026251069</v>
      </c>
      <c r="J22" s="31">
        <f>SUMPRODUCT((PM_2!$F$2:$F1014=A22)*PM_2!$G$2:$G1014)</f>
        <v>177.5125</v>
      </c>
      <c r="K22" s="14">
        <v>228.05</v>
      </c>
      <c r="L22" s="15">
        <f>IFERROR(__xludf.DUMMYFUNCTION("googlefinance(A22)"),185.45)</f>
        <v>185.45</v>
      </c>
      <c r="M22" s="31">
        <f t="shared" si="4"/>
        <v>357.1875</v>
      </c>
    </row>
    <row r="23" customHeight="1" spans="1:13">
      <c r="A23" s="12" t="s">
        <v>38</v>
      </c>
      <c r="B23" s="12">
        <v>1600</v>
      </c>
      <c r="C23" s="12" t="s">
        <v>17</v>
      </c>
      <c r="D23" s="176">
        <v>0.09</v>
      </c>
      <c r="E23" s="15">
        <f t="shared" si="0"/>
        <v>144</v>
      </c>
      <c r="F23" s="177">
        <f t="shared" si="1"/>
        <v>1.034546204099</v>
      </c>
      <c r="G23" s="177">
        <f t="shared" si="2"/>
        <v>1.2</v>
      </c>
      <c r="H23" s="31">
        <f>IFERROR(__xludf.DUMMYFUNCTION("B23*GOOGLEFINANCE(A23)"),12000)</f>
        <v>12000</v>
      </c>
      <c r="I23" s="188">
        <f t="shared" si="3"/>
        <v>0.0196020528445862</v>
      </c>
      <c r="J23" s="31">
        <f>SUMPRODUCT((PM_2!$F$2:$F1014=A23)*PM_2!$G$2:$G1014)</f>
        <v>8.69946645624999</v>
      </c>
      <c r="K23" s="14">
        <v>9.15</v>
      </c>
      <c r="L23" s="15">
        <f>IFERROR(__xludf.DUMMYFUNCTION("googlefinance(A23)"),7.5)</f>
        <v>7.5</v>
      </c>
      <c r="M23" s="31">
        <f t="shared" si="4"/>
        <v>-1919.14632999998</v>
      </c>
    </row>
    <row r="24" customHeight="1" spans="1:13">
      <c r="A24" s="12" t="s">
        <v>39</v>
      </c>
      <c r="B24" s="12">
        <v>260</v>
      </c>
      <c r="C24" s="12" t="s">
        <v>17</v>
      </c>
      <c r="D24" s="176">
        <v>0</v>
      </c>
      <c r="E24" s="15">
        <f t="shared" si="0"/>
        <v>0</v>
      </c>
      <c r="F24" s="177">
        <f t="shared" si="1"/>
        <v>0</v>
      </c>
      <c r="G24" s="177">
        <f t="shared" si="2"/>
        <v>0</v>
      </c>
      <c r="H24" s="31">
        <f>IFERROR(__xludf.DUMMYFUNCTION("B24*GOOGLEFINANCE(A24)"),4997.2)</f>
        <v>4997.2</v>
      </c>
      <c r="I24" s="188">
        <f t="shared" si="3"/>
        <v>0.00816294820624718</v>
      </c>
      <c r="J24" s="31">
        <f>SUMPRODUCT((PM_2!$F$2:$F1014=A24)*PM_2!$G$2:$G1014)</f>
        <v>118.534161483295</v>
      </c>
      <c r="K24" s="14">
        <v>112.17</v>
      </c>
      <c r="L24" s="15">
        <f>IFERROR(__xludf.DUMMYFUNCTION("googlefinance(A24)"),19.22)</f>
        <v>19.22</v>
      </c>
      <c r="M24" s="31">
        <f t="shared" si="4"/>
        <v>-25821.6819856567</v>
      </c>
    </row>
    <row r="25" customHeight="1" spans="1:13">
      <c r="A25" s="12" t="s">
        <v>40</v>
      </c>
      <c r="B25" s="12">
        <v>850</v>
      </c>
      <c r="C25" s="12" t="s">
        <v>34</v>
      </c>
      <c r="D25" s="176">
        <v>0.1</v>
      </c>
      <c r="E25" s="15">
        <f t="shared" si="0"/>
        <v>85</v>
      </c>
      <c r="F25" s="177">
        <f t="shared" si="1"/>
        <v>1.08517749673809</v>
      </c>
      <c r="G25" s="177">
        <f t="shared" si="2"/>
        <v>1.38504155124654</v>
      </c>
      <c r="H25" s="31">
        <f>IFERROR(__xludf.DUMMYFUNCTION("B25*GOOGLEFINANCE(A25)"),6137)</f>
        <v>6137</v>
      </c>
      <c r="I25" s="188">
        <f t="shared" si="3"/>
        <v>0.0100248165256021</v>
      </c>
      <c r="J25" s="31">
        <f>SUMPRODUCT((PM_2!$F$2:$F1014=A25)*PM_2!$G$2:$G1014)</f>
        <v>9.21508235294116</v>
      </c>
      <c r="K25" s="14">
        <v>9.06</v>
      </c>
      <c r="L25" s="15">
        <f>IFERROR(__xludf.DUMMYFUNCTION("googlefinance(A25)"),7.22)</f>
        <v>7.22</v>
      </c>
      <c r="M25" s="31">
        <f t="shared" si="4"/>
        <v>-1695.81999999999</v>
      </c>
    </row>
    <row r="26" customHeight="1" spans="1:13">
      <c r="A26" s="12" t="s">
        <v>41</v>
      </c>
      <c r="B26" s="12">
        <v>70</v>
      </c>
      <c r="C26" s="12" t="s">
        <v>34</v>
      </c>
      <c r="D26" s="176">
        <v>0</v>
      </c>
      <c r="E26" s="15">
        <f t="shared" si="0"/>
        <v>0</v>
      </c>
      <c r="F26" s="177">
        <f t="shared" si="1"/>
        <v>0</v>
      </c>
      <c r="G26" s="177">
        <f t="shared" si="2"/>
        <v>0</v>
      </c>
      <c r="H26" s="31">
        <f>IFERROR(__xludf.DUMMYFUNCTION("B26*GOOGLEFINANCE(A26)"),5284.29999999999)</f>
        <v>5284.29999999999</v>
      </c>
      <c r="I26" s="188">
        <f t="shared" si="3"/>
        <v>0.00863192732055389</v>
      </c>
      <c r="J26" s="31">
        <v>92.21</v>
      </c>
      <c r="K26" s="14">
        <v>90.12</v>
      </c>
      <c r="L26" s="15">
        <f>IFERROR(__xludf.DUMMYFUNCTION("googlefinance(A26)"),75.49)</f>
        <v>75.49</v>
      </c>
      <c r="M26" s="31">
        <f t="shared" si="4"/>
        <v>-1170.4</v>
      </c>
    </row>
    <row r="27" customHeight="1" spans="1:13">
      <c r="A27" s="12" t="s">
        <v>42</v>
      </c>
      <c r="B27" s="12">
        <v>50</v>
      </c>
      <c r="C27" s="12" t="s">
        <v>14</v>
      </c>
      <c r="D27" s="176">
        <v>0.55</v>
      </c>
      <c r="E27" s="15">
        <f t="shared" si="0"/>
        <v>27.5</v>
      </c>
      <c r="F27" s="177">
        <f t="shared" si="1"/>
        <v>0.602033779568068</v>
      </c>
      <c r="G27" s="177">
        <f t="shared" si="2"/>
        <v>0.711974110032363</v>
      </c>
      <c r="H27" s="31">
        <f>IFERROR(__xludf.DUMMYFUNCTION("B27*GOOGLEFINANCE(A27)"),3862.5)</f>
        <v>3862.5</v>
      </c>
      <c r="I27" s="188">
        <f t="shared" si="3"/>
        <v>0.00630941075935118</v>
      </c>
      <c r="J27" s="31">
        <f>SUMPRODUCT((PM_2!$F$2:$F1014=A27)*PM_2!$G$2:$G1014)</f>
        <v>91.357</v>
      </c>
      <c r="K27" s="14">
        <v>100.76</v>
      </c>
      <c r="L27" s="15">
        <f>IFERROR(__xludf.DUMMYFUNCTION("googlefinance(A27)"),77.25)</f>
        <v>77.25</v>
      </c>
      <c r="M27" s="31">
        <f t="shared" si="4"/>
        <v>-705.349999999999</v>
      </c>
    </row>
    <row r="28" customHeight="1" spans="1:13">
      <c r="A28" s="12" t="s">
        <v>43</v>
      </c>
      <c r="B28" s="12">
        <v>45</v>
      </c>
      <c r="C28" s="12" t="s">
        <v>34</v>
      </c>
      <c r="D28" s="176">
        <v>0.5</v>
      </c>
      <c r="E28" s="15">
        <f t="shared" si="0"/>
        <v>22.5</v>
      </c>
      <c r="F28" s="177">
        <f t="shared" si="1"/>
        <v>0.478534026959544</v>
      </c>
      <c r="G28" s="177">
        <f t="shared" si="2"/>
        <v>0.534302201325069</v>
      </c>
      <c r="H28" s="31">
        <f>IFERROR(__xludf.DUMMYFUNCTION("B28*GOOGLEFINANCE(A28)"),4211.1)</f>
        <v>4211.1</v>
      </c>
      <c r="I28" s="188">
        <f t="shared" si="3"/>
        <v>0.00687885039448641</v>
      </c>
      <c r="J28" s="31">
        <f>SUMPRODUCT((PM_2!$F$2:$F1014=A28)*PM_2!$G$2:$G1014)</f>
        <v>104.485777777778</v>
      </c>
      <c r="K28" s="14">
        <v>101.94</v>
      </c>
      <c r="L28" s="15">
        <f>IFERROR(__xludf.DUMMYFUNCTION("googlefinance(A28)"),93.58)</f>
        <v>93.58</v>
      </c>
      <c r="M28" s="31">
        <f t="shared" si="4"/>
        <v>-490.76</v>
      </c>
    </row>
    <row r="29" customHeight="1" spans="1:13">
      <c r="A29" s="179" t="s">
        <v>44</v>
      </c>
      <c r="B29" s="179">
        <f>SUM(B2:B28)</f>
        <v>15234</v>
      </c>
      <c r="C29" s="179"/>
      <c r="D29" s="180"/>
      <c r="E29" s="181">
        <f>SUM(E2:E28)</f>
        <v>3702.55</v>
      </c>
      <c r="F29" s="182">
        <f>SUMPRODUCT(F2:F28,I2:I28)</f>
        <v>0.49832588856649</v>
      </c>
      <c r="G29" s="182">
        <f>SUMPRODUCT(G2:G28,I2:I28)</f>
        <v>0.604813172997689</v>
      </c>
      <c r="H29" s="181">
        <f t="shared" ref="H29:I29" si="5">SUM(H2:H28)</f>
        <v>612180.78</v>
      </c>
      <c r="I29" s="198">
        <f t="shared" si="5"/>
        <v>1</v>
      </c>
      <c r="J29" s="180"/>
      <c r="K29" s="180"/>
      <c r="L29" s="180"/>
      <c r="M29" s="199">
        <f>SUM(M2:M28)</f>
        <v>-183542.957219327</v>
      </c>
    </row>
    <row r="30" customHeight="1" spans="1:4">
      <c r="A30" s="12"/>
      <c r="B30" s="12"/>
      <c r="C30" s="12"/>
      <c r="D30" s="12"/>
    </row>
    <row r="31" customHeight="1" spans="1:4">
      <c r="A31" s="12"/>
      <c r="B31" s="12"/>
      <c r="C31" s="12"/>
      <c r="D31" s="12"/>
    </row>
    <row r="32" customHeight="1" spans="1:4">
      <c r="A32" s="12"/>
      <c r="B32" s="12"/>
      <c r="C32" s="12"/>
      <c r="D32" s="12"/>
    </row>
    <row r="33" customHeight="1" spans="1:4">
      <c r="A33" s="12"/>
      <c r="B33" s="12"/>
      <c r="C33" s="12"/>
      <c r="D33" s="12"/>
    </row>
    <row r="34" customHeight="1" spans="1:4">
      <c r="A34" s="12"/>
      <c r="B34" s="12"/>
      <c r="C34" s="12"/>
      <c r="D34" s="12"/>
    </row>
    <row r="35" customHeight="1" spans="1:4">
      <c r="A35" s="12"/>
      <c r="B35" s="12"/>
      <c r="C35" s="12"/>
      <c r="D35" s="12"/>
    </row>
    <row r="36" customHeight="1" spans="1:4">
      <c r="A36" s="12"/>
      <c r="B36" s="12"/>
      <c r="C36" s="12"/>
      <c r="D36" s="12"/>
    </row>
    <row r="37" customHeight="1" spans="1:4">
      <c r="A37" s="12"/>
      <c r="B37" s="12"/>
      <c r="C37" s="12"/>
      <c r="D37" s="12"/>
    </row>
    <row r="38" customHeight="1" spans="1:4">
      <c r="A38" s="12"/>
      <c r="B38" s="12"/>
      <c r="C38" s="12"/>
      <c r="D38" s="12"/>
    </row>
    <row r="39" customHeight="1" spans="1:4">
      <c r="A39" s="12"/>
      <c r="B39" s="12"/>
      <c r="C39" s="12"/>
      <c r="D39" s="12"/>
    </row>
    <row r="40" customHeight="1" spans="1:4">
      <c r="A40" s="12"/>
      <c r="B40" s="12"/>
      <c r="C40" s="12"/>
      <c r="D40" s="12"/>
    </row>
    <row r="41" customHeight="1" spans="1:4">
      <c r="A41" s="12"/>
      <c r="B41" s="12"/>
      <c r="C41" s="12"/>
      <c r="D41" s="12"/>
    </row>
    <row r="42" customHeight="1" spans="1:4">
      <c r="A42" s="12"/>
      <c r="B42" s="12"/>
      <c r="C42" s="12"/>
      <c r="D42" s="12"/>
    </row>
    <row r="43" customHeight="1" spans="1:6">
      <c r="A43" s="12"/>
      <c r="B43" s="12"/>
      <c r="C43" s="12"/>
      <c r="D43" s="12"/>
      <c r="F43" s="183"/>
    </row>
    <row r="44" customHeight="1" spans="1:4">
      <c r="A44" s="12"/>
      <c r="B44" s="12"/>
      <c r="C44" s="12"/>
      <c r="D44" s="12"/>
    </row>
    <row r="45" customHeight="1" spans="1:4">
      <c r="A45" s="12"/>
      <c r="B45" s="12"/>
      <c r="C45" s="12"/>
      <c r="D45" s="12"/>
    </row>
    <row r="46" customHeight="1" spans="1:4">
      <c r="A46" s="12"/>
      <c r="B46" s="12"/>
      <c r="C46" s="12"/>
      <c r="D46" s="12"/>
    </row>
    <row r="47" customHeight="1" spans="1:4">
      <c r="A47" s="12"/>
      <c r="B47" s="12"/>
      <c r="C47" s="12"/>
      <c r="D47" s="12"/>
    </row>
    <row r="48" customHeight="1" spans="1:4">
      <c r="A48" s="12"/>
      <c r="B48" s="12"/>
      <c r="C48" s="12"/>
      <c r="D48" s="12"/>
    </row>
    <row r="49" customHeight="1" spans="1:4">
      <c r="A49" s="12"/>
      <c r="B49" s="12"/>
      <c r="C49" s="12"/>
      <c r="D49" s="12"/>
    </row>
    <row r="50" customHeight="1" spans="1:4">
      <c r="A50" s="12"/>
      <c r="B50" s="12"/>
      <c r="C50" s="12"/>
      <c r="D50" s="12"/>
    </row>
    <row r="51" customHeight="1" spans="1:4">
      <c r="A51" s="12"/>
      <c r="B51" s="55"/>
      <c r="C51" s="55"/>
      <c r="D51" s="55"/>
    </row>
    <row r="52" customHeight="1" spans="1:4">
      <c r="A52" s="184"/>
      <c r="B52" s="12"/>
      <c r="C52" s="12"/>
      <c r="D52" s="12"/>
    </row>
    <row r="53" customHeight="1" spans="1:4">
      <c r="A53" s="184"/>
      <c r="B53" s="12"/>
      <c r="C53" s="12"/>
      <c r="D53" s="12"/>
    </row>
    <row r="54" customHeight="1" spans="1:4">
      <c r="A54" s="184"/>
      <c r="B54" s="12"/>
      <c r="C54" s="12"/>
      <c r="D54" s="12"/>
    </row>
    <row r="55" customHeight="1" spans="1:4">
      <c r="A55" s="12"/>
      <c r="B55" s="12"/>
      <c r="C55" s="12"/>
      <c r="D55" s="12"/>
    </row>
    <row r="56" customHeight="1" spans="1:4">
      <c r="A56" s="12"/>
      <c r="B56" s="12"/>
      <c r="C56" s="12"/>
      <c r="D56" s="12"/>
    </row>
    <row r="57" customHeight="1" spans="1:4">
      <c r="A57" s="12"/>
      <c r="B57" s="12"/>
      <c r="C57" s="12"/>
      <c r="D57" s="12"/>
    </row>
    <row r="58" customHeight="1" spans="1:4">
      <c r="A58" s="12"/>
      <c r="B58" s="12"/>
      <c r="C58" s="12"/>
      <c r="D58" s="12"/>
    </row>
    <row r="59" customHeight="1" spans="1:4">
      <c r="A59" s="12"/>
      <c r="B59" s="12"/>
      <c r="C59" s="12"/>
      <c r="D59" s="12"/>
    </row>
    <row r="60" customHeight="1" spans="1:4">
      <c r="A60" s="12"/>
      <c r="B60" s="12"/>
      <c r="C60" s="12"/>
      <c r="D60" s="12"/>
    </row>
    <row r="61" customHeight="1" spans="1:4">
      <c r="A61" s="12"/>
      <c r="B61" s="12"/>
      <c r="C61" s="12"/>
      <c r="D61" s="12"/>
    </row>
    <row r="62" customHeight="1" spans="1:4">
      <c r="A62" s="12"/>
      <c r="B62" s="12"/>
      <c r="C62" s="12"/>
      <c r="D62" s="12"/>
    </row>
    <row r="63" customHeight="1" spans="1:4">
      <c r="A63" s="12"/>
      <c r="B63" s="12"/>
      <c r="C63" s="12"/>
      <c r="D63" s="12"/>
    </row>
    <row r="64" customHeight="1" spans="1:4">
      <c r="A64" s="12"/>
      <c r="B64" s="12"/>
      <c r="C64" s="12"/>
      <c r="D64" s="12"/>
    </row>
    <row r="65" customHeight="1" spans="1:4">
      <c r="A65" s="12"/>
      <c r="B65" s="12"/>
      <c r="C65" s="12"/>
      <c r="D65" s="12"/>
    </row>
    <row r="66" customHeight="1" spans="1:4">
      <c r="A66" s="12"/>
      <c r="B66" s="12"/>
      <c r="C66" s="12"/>
      <c r="D66" s="12"/>
    </row>
    <row r="67" customHeight="1" spans="1:4">
      <c r="A67" s="12"/>
      <c r="B67" s="12"/>
      <c r="C67" s="12"/>
      <c r="D67" s="12"/>
    </row>
    <row r="68" customHeight="1" spans="1:4">
      <c r="A68" s="12"/>
      <c r="B68" s="12"/>
      <c r="C68" s="12"/>
      <c r="D68" s="12"/>
    </row>
    <row r="69" customHeight="1" spans="1:4">
      <c r="A69" s="12"/>
      <c r="B69" s="12"/>
      <c r="C69" s="12"/>
      <c r="D69" s="12"/>
    </row>
    <row r="70" customHeight="1" spans="1:4">
      <c r="A70" s="12"/>
      <c r="B70" s="12"/>
      <c r="C70" s="12"/>
      <c r="D70" s="12"/>
    </row>
    <row r="71" customHeight="1" spans="1:4">
      <c r="A71" s="12"/>
      <c r="B71" s="12"/>
      <c r="C71" s="12"/>
      <c r="D71" s="12"/>
    </row>
    <row r="72" customHeight="1" spans="1:4">
      <c r="A72" s="12"/>
      <c r="B72" s="12"/>
      <c r="C72" s="12"/>
      <c r="D72" s="12"/>
    </row>
    <row r="73" customHeight="1" spans="1:4">
      <c r="A73" s="12"/>
      <c r="B73" s="12"/>
      <c r="C73" s="12"/>
      <c r="D73" s="12"/>
    </row>
    <row r="74" customHeight="1" spans="1:4">
      <c r="A74" s="12"/>
      <c r="B74" s="12"/>
      <c r="C74" s="12"/>
      <c r="D74" s="12"/>
    </row>
    <row r="75" customHeight="1" spans="1:4">
      <c r="A75" s="12"/>
      <c r="B75" s="12"/>
      <c r="C75" s="12"/>
      <c r="D75" s="12"/>
    </row>
    <row r="76" customHeight="1" spans="1:4">
      <c r="A76" s="12"/>
      <c r="B76" s="12"/>
      <c r="C76" s="12"/>
      <c r="D76" s="12"/>
    </row>
    <row r="77" customHeight="1" spans="1:4">
      <c r="A77" s="12"/>
      <c r="B77" s="12"/>
      <c r="C77" s="12"/>
      <c r="D77" s="12"/>
    </row>
    <row r="78" customHeight="1" spans="1:4">
      <c r="A78" s="12"/>
      <c r="B78" s="12"/>
      <c r="C78" s="12"/>
      <c r="D78" s="12"/>
    </row>
    <row r="79" customHeight="1" spans="1:4">
      <c r="A79" s="12"/>
      <c r="B79" s="12"/>
      <c r="C79" s="12"/>
      <c r="D79" s="12"/>
    </row>
    <row r="80" customHeight="1" spans="1:4">
      <c r="A80" s="12"/>
      <c r="B80" s="12"/>
      <c r="C80" s="12"/>
      <c r="D80" s="12"/>
    </row>
    <row r="81" customHeight="1" spans="1:4">
      <c r="A81" s="12"/>
      <c r="B81" s="12"/>
      <c r="C81" s="12"/>
      <c r="D81" s="12"/>
    </row>
    <row r="82" customHeight="1" spans="1:4">
      <c r="A82" s="12"/>
      <c r="B82" s="12"/>
      <c r="C82" s="12"/>
      <c r="D82" s="12"/>
    </row>
    <row r="83" customHeight="1" spans="1:4">
      <c r="A83" s="12"/>
      <c r="B83" s="12"/>
      <c r="C83" s="12"/>
      <c r="D83" s="12"/>
    </row>
    <row r="84" customHeight="1" spans="1:4">
      <c r="A84" s="12"/>
      <c r="B84" s="12"/>
      <c r="C84" s="12"/>
      <c r="D84" s="12"/>
    </row>
    <row r="85" customHeight="1" spans="1:4">
      <c r="A85" s="12"/>
      <c r="B85" s="12"/>
      <c r="C85" s="12"/>
      <c r="D85" s="12"/>
    </row>
    <row r="86" customHeight="1" spans="1:4">
      <c r="A86" s="12"/>
      <c r="B86" s="12"/>
      <c r="C86" s="12"/>
      <c r="D86" s="12"/>
    </row>
    <row r="87" customHeight="1" spans="1:4">
      <c r="A87" s="12"/>
      <c r="B87" s="12"/>
      <c r="C87" s="12"/>
      <c r="D87" s="12"/>
    </row>
    <row r="88" customHeight="1" spans="1:4">
      <c r="A88" s="12"/>
      <c r="B88" s="12"/>
      <c r="C88" s="12"/>
      <c r="D88" s="12"/>
    </row>
    <row r="89" customHeight="1" spans="1:4">
      <c r="A89" s="12"/>
      <c r="B89" s="12"/>
      <c r="C89" s="12"/>
      <c r="D89" s="12"/>
    </row>
    <row r="90" customHeight="1" spans="1:4">
      <c r="A90" s="12"/>
      <c r="B90" s="12"/>
      <c r="C90" s="12"/>
      <c r="D90" s="12"/>
    </row>
    <row r="91" customHeight="1" spans="1:4">
      <c r="A91" s="12"/>
      <c r="B91" s="12"/>
      <c r="C91" s="12"/>
      <c r="D91" s="12"/>
    </row>
    <row r="92" customHeight="1" spans="1:4">
      <c r="A92" s="12"/>
      <c r="B92" s="12"/>
      <c r="C92" s="12"/>
      <c r="D92" s="12"/>
    </row>
    <row r="93" customHeight="1" spans="1:4">
      <c r="A93" s="12"/>
      <c r="B93" s="12"/>
      <c r="C93" s="12"/>
      <c r="D93" s="12"/>
    </row>
    <row r="94" customHeight="1" spans="1:4">
      <c r="A94" s="12"/>
      <c r="B94" s="12"/>
      <c r="C94" s="12"/>
      <c r="D94" s="12"/>
    </row>
    <row r="95" customHeight="1" spans="1:4">
      <c r="A95" s="12"/>
      <c r="B95" s="12"/>
      <c r="C95" s="12"/>
      <c r="D95" s="12"/>
    </row>
    <row r="96" customHeight="1" spans="1:4">
      <c r="A96" s="12"/>
      <c r="B96" s="12"/>
      <c r="C96" s="12"/>
      <c r="D96" s="12"/>
    </row>
    <row r="97" customHeight="1" spans="1:4">
      <c r="A97" s="12"/>
      <c r="B97" s="12"/>
      <c r="C97" s="12"/>
      <c r="D97" s="12"/>
    </row>
    <row r="98" customHeight="1" spans="1:4">
      <c r="A98" s="12"/>
      <c r="B98" s="12"/>
      <c r="C98" s="12"/>
      <c r="D98" s="12"/>
    </row>
    <row r="99" customHeight="1" spans="1:4">
      <c r="A99" s="12"/>
      <c r="B99" s="12"/>
      <c r="C99" s="12"/>
      <c r="D99" s="12"/>
    </row>
    <row r="100" customHeight="1" spans="1:4">
      <c r="A100" s="12"/>
      <c r="B100" s="12"/>
      <c r="C100" s="12"/>
      <c r="D100" s="12"/>
    </row>
    <row r="101" customHeight="1" spans="1:4">
      <c r="A101" s="12"/>
      <c r="B101" s="12"/>
      <c r="C101" s="12"/>
      <c r="D101" s="12"/>
    </row>
    <row r="102" customHeight="1" spans="1:4">
      <c r="A102" s="12"/>
      <c r="B102" s="12"/>
      <c r="C102" s="12"/>
      <c r="D102" s="12"/>
    </row>
    <row r="103" customHeight="1" spans="1:4">
      <c r="A103" s="12"/>
      <c r="B103" s="12"/>
      <c r="C103" s="12"/>
      <c r="D103" s="12"/>
    </row>
    <row r="104" customHeight="1" spans="1:4">
      <c r="A104" s="12"/>
      <c r="B104" s="12"/>
      <c r="C104" s="12"/>
      <c r="D104" s="12"/>
    </row>
    <row r="105" customHeight="1" spans="1:4">
      <c r="A105" s="12"/>
      <c r="B105" s="12"/>
      <c r="C105" s="12"/>
      <c r="D105" s="12"/>
    </row>
    <row r="106" customHeight="1" spans="1:4">
      <c r="A106" s="12"/>
      <c r="B106" s="12"/>
      <c r="C106" s="12"/>
      <c r="D106" s="12"/>
    </row>
    <row r="107" customHeight="1" spans="1:4">
      <c r="A107" s="12"/>
      <c r="B107" s="12"/>
      <c r="C107" s="12"/>
      <c r="D107" s="12"/>
    </row>
    <row r="108" customHeight="1" spans="1:4">
      <c r="A108" s="12"/>
      <c r="B108" s="12"/>
      <c r="C108" s="12"/>
      <c r="D108" s="12"/>
    </row>
    <row r="109" customHeight="1" spans="1:4">
      <c r="A109" s="12"/>
      <c r="B109" s="12"/>
      <c r="C109" s="12"/>
      <c r="D109" s="12"/>
    </row>
    <row r="110" customHeight="1" spans="1:4">
      <c r="A110" s="12"/>
      <c r="B110" s="12"/>
      <c r="C110" s="12"/>
      <c r="D110" s="12"/>
    </row>
    <row r="111" customHeight="1" spans="1:4">
      <c r="A111" s="12"/>
      <c r="B111" s="12"/>
      <c r="C111" s="12"/>
      <c r="D111" s="12"/>
    </row>
    <row r="112" customHeight="1" spans="1:4">
      <c r="A112" s="12"/>
      <c r="B112" s="12"/>
      <c r="C112" s="12"/>
      <c r="D112" s="12"/>
    </row>
    <row r="113" customHeight="1" spans="1:4">
      <c r="A113" s="12"/>
      <c r="B113" s="12"/>
      <c r="C113" s="12"/>
      <c r="D113" s="12"/>
    </row>
    <row r="114" customHeight="1" spans="1:4">
      <c r="A114" s="12"/>
      <c r="B114" s="12"/>
      <c r="C114" s="12"/>
      <c r="D114" s="12"/>
    </row>
    <row r="115" customHeight="1" spans="1:4">
      <c r="A115" s="12"/>
      <c r="B115" s="12"/>
      <c r="C115" s="12"/>
      <c r="D115" s="12"/>
    </row>
    <row r="116" customHeight="1" spans="1:4">
      <c r="A116" s="12"/>
      <c r="B116" s="12"/>
      <c r="C116" s="12"/>
      <c r="D116" s="12"/>
    </row>
    <row r="117" customHeight="1" spans="1:4">
      <c r="A117" s="12"/>
      <c r="B117" s="12"/>
      <c r="C117" s="12"/>
      <c r="D117" s="12"/>
    </row>
    <row r="118" customHeight="1" spans="1:4">
      <c r="A118" s="12"/>
      <c r="B118" s="12"/>
      <c r="C118" s="12"/>
      <c r="D118" s="12"/>
    </row>
    <row r="119" customHeight="1" spans="1:4">
      <c r="A119" s="12"/>
      <c r="B119" s="12"/>
      <c r="C119" s="12"/>
      <c r="D119" s="12"/>
    </row>
    <row r="120" customHeight="1" spans="1:4">
      <c r="A120" s="12"/>
      <c r="B120" s="12"/>
      <c r="C120" s="12"/>
      <c r="D120" s="12"/>
    </row>
    <row r="121" customHeight="1" spans="1:4">
      <c r="A121" s="12"/>
      <c r="B121" s="12"/>
      <c r="C121" s="12"/>
      <c r="D121" s="12"/>
    </row>
    <row r="122" customHeight="1" spans="1:4">
      <c r="A122" s="12"/>
      <c r="B122" s="12"/>
      <c r="C122" s="12"/>
      <c r="D122" s="12"/>
    </row>
    <row r="123" customHeight="1" spans="1:4">
      <c r="A123" s="12"/>
      <c r="B123" s="12"/>
      <c r="C123" s="12"/>
      <c r="D123" s="12"/>
    </row>
    <row r="124" customHeight="1" spans="1:4">
      <c r="A124" s="12"/>
      <c r="B124" s="12"/>
      <c r="C124" s="12"/>
      <c r="D124" s="12"/>
    </row>
    <row r="125" customHeight="1" spans="1:4">
      <c r="A125" s="12"/>
      <c r="B125" s="12"/>
      <c r="C125" s="12"/>
      <c r="D125" s="12"/>
    </row>
    <row r="126" customHeight="1" spans="1:4">
      <c r="A126" s="12"/>
      <c r="B126" s="12"/>
      <c r="C126" s="12"/>
      <c r="D126" s="12"/>
    </row>
    <row r="127" customHeight="1" spans="1:4">
      <c r="A127" s="12"/>
      <c r="B127" s="12"/>
      <c r="C127" s="12"/>
      <c r="D127" s="12"/>
    </row>
    <row r="128" customHeight="1" spans="1:4">
      <c r="A128" s="12"/>
      <c r="B128" s="12"/>
      <c r="C128" s="12"/>
      <c r="D128" s="12"/>
    </row>
    <row r="129" customHeight="1" spans="1:4">
      <c r="A129" s="12"/>
      <c r="B129" s="12"/>
      <c r="C129" s="12"/>
      <c r="D129" s="12"/>
    </row>
    <row r="130" customHeight="1" spans="1:4">
      <c r="A130" s="12"/>
      <c r="B130" s="12"/>
      <c r="C130" s="12"/>
      <c r="D130" s="12"/>
    </row>
    <row r="131" customHeight="1" spans="1:4">
      <c r="A131" s="12"/>
      <c r="B131" s="12"/>
      <c r="C131" s="12"/>
      <c r="D131" s="12"/>
    </row>
    <row r="132" customHeight="1" spans="1:4">
      <c r="A132" s="12"/>
      <c r="B132" s="12"/>
      <c r="C132" s="12"/>
      <c r="D132" s="12"/>
    </row>
    <row r="133" customHeight="1" spans="1:4">
      <c r="A133" s="12"/>
      <c r="B133" s="12"/>
      <c r="C133" s="12"/>
      <c r="D133" s="12"/>
    </row>
    <row r="134" customHeight="1" spans="1:4">
      <c r="A134" s="12"/>
      <c r="B134" s="12"/>
      <c r="C134" s="12"/>
      <c r="D134" s="12"/>
    </row>
    <row r="135" customHeight="1" spans="1:4">
      <c r="A135" s="12"/>
      <c r="B135" s="12"/>
      <c r="C135" s="12"/>
      <c r="D135" s="12"/>
    </row>
    <row r="136" customHeight="1" spans="1:4">
      <c r="A136" s="12"/>
      <c r="B136" s="12"/>
      <c r="C136" s="12"/>
      <c r="D136" s="12"/>
    </row>
    <row r="137" customHeight="1" spans="1:4">
      <c r="A137" s="12"/>
      <c r="B137" s="12"/>
      <c r="C137" s="12"/>
      <c r="D137" s="12"/>
    </row>
    <row r="138" customHeight="1" spans="1:4">
      <c r="A138" s="12"/>
      <c r="B138" s="12"/>
      <c r="C138" s="12"/>
      <c r="D138" s="12"/>
    </row>
    <row r="139" customHeight="1" spans="1:4">
      <c r="A139" s="12"/>
      <c r="B139" s="12"/>
      <c r="C139" s="12"/>
      <c r="D139" s="12"/>
    </row>
    <row r="140" customHeight="1" spans="1:4">
      <c r="A140" s="12"/>
      <c r="B140" s="12"/>
      <c r="C140" s="12"/>
      <c r="D140" s="12"/>
    </row>
    <row r="141" customHeight="1" spans="1:4">
      <c r="A141" s="12"/>
      <c r="B141" s="12"/>
      <c r="C141" s="12"/>
      <c r="D141" s="12"/>
    </row>
    <row r="142" customHeight="1" spans="1:4">
      <c r="A142" s="12"/>
      <c r="B142" s="12"/>
      <c r="C142" s="12"/>
      <c r="D142" s="12"/>
    </row>
    <row r="143" customHeight="1" spans="1:4">
      <c r="A143" s="12"/>
      <c r="B143" s="12"/>
      <c r="C143" s="12"/>
      <c r="D143" s="12"/>
    </row>
    <row r="144" customHeight="1" spans="1:4">
      <c r="A144" s="12"/>
      <c r="B144" s="12"/>
      <c r="C144" s="12"/>
      <c r="D144" s="12"/>
    </row>
    <row r="145" customHeight="1" spans="1:4">
      <c r="A145" s="12"/>
      <c r="B145" s="12"/>
      <c r="C145" s="12"/>
      <c r="D145" s="12"/>
    </row>
    <row r="146" customHeight="1" spans="1:4">
      <c r="A146" s="12"/>
      <c r="B146" s="12"/>
      <c r="C146" s="12"/>
      <c r="D146" s="12"/>
    </row>
    <row r="147" customHeight="1" spans="1:4">
      <c r="A147" s="12"/>
      <c r="B147" s="12"/>
      <c r="C147" s="12"/>
      <c r="D147" s="12"/>
    </row>
    <row r="148" customHeight="1" spans="1:4">
      <c r="A148" s="12"/>
      <c r="B148" s="12"/>
      <c r="C148" s="12"/>
      <c r="D148" s="12"/>
    </row>
    <row r="149" customHeight="1" spans="1:4">
      <c r="A149" s="12"/>
      <c r="B149" s="12"/>
      <c r="C149" s="12"/>
      <c r="D149" s="12"/>
    </row>
    <row r="150" customHeight="1" spans="1:4">
      <c r="A150" s="12"/>
      <c r="B150" s="12"/>
      <c r="C150" s="12"/>
      <c r="D150" s="12"/>
    </row>
    <row r="151" customHeight="1" spans="1:4">
      <c r="A151" s="12"/>
      <c r="B151" s="12"/>
      <c r="C151" s="12"/>
      <c r="D151" s="12"/>
    </row>
    <row r="152" customHeight="1" spans="1:4">
      <c r="A152" s="12"/>
      <c r="B152" s="12"/>
      <c r="C152" s="12"/>
      <c r="D152" s="12"/>
    </row>
    <row r="153" customHeight="1" spans="1:4">
      <c r="A153" s="12"/>
      <c r="B153" s="12"/>
      <c r="C153" s="12"/>
      <c r="D153" s="12"/>
    </row>
    <row r="154" customHeight="1" spans="1:4">
      <c r="A154" s="12"/>
      <c r="B154" s="12"/>
      <c r="C154" s="12"/>
      <c r="D154" s="12"/>
    </row>
    <row r="155" customHeight="1" spans="1:4">
      <c r="A155" s="12"/>
      <c r="B155" s="12"/>
      <c r="C155" s="12"/>
      <c r="D155" s="12"/>
    </row>
    <row r="156" customHeight="1" spans="1:4">
      <c r="A156" s="12"/>
      <c r="B156" s="12"/>
      <c r="C156" s="12"/>
      <c r="D156" s="12"/>
    </row>
    <row r="157" customHeight="1" spans="1:4">
      <c r="A157" s="12"/>
      <c r="B157" s="12"/>
      <c r="C157" s="12"/>
      <c r="D157" s="12"/>
    </row>
    <row r="158" customHeight="1" spans="1:4">
      <c r="A158" s="12"/>
      <c r="B158" s="12"/>
      <c r="C158" s="12"/>
      <c r="D158" s="12"/>
    </row>
    <row r="159" customHeight="1" spans="1:4">
      <c r="A159" s="12"/>
      <c r="B159" s="12"/>
      <c r="C159" s="12"/>
      <c r="D159" s="12"/>
    </row>
    <row r="160" customHeight="1" spans="1:4">
      <c r="A160" s="12"/>
      <c r="B160" s="12"/>
      <c r="C160" s="12"/>
      <c r="D160" s="12"/>
    </row>
    <row r="161" customHeight="1" spans="1:4">
      <c r="A161" s="12"/>
      <c r="B161" s="12"/>
      <c r="C161" s="12"/>
      <c r="D161" s="12"/>
    </row>
    <row r="162" customHeight="1" spans="1:4">
      <c r="A162" s="12"/>
      <c r="B162" s="12"/>
      <c r="C162" s="12"/>
      <c r="D162" s="12"/>
    </row>
    <row r="163" customHeight="1" spans="1:4">
      <c r="A163" s="12"/>
      <c r="B163" s="12"/>
      <c r="C163" s="12"/>
      <c r="D163" s="12"/>
    </row>
    <row r="164" customHeight="1" spans="1:4">
      <c r="A164" s="12"/>
      <c r="B164" s="12"/>
      <c r="C164" s="12"/>
      <c r="D164" s="12"/>
    </row>
    <row r="165" customHeight="1" spans="1:4">
      <c r="A165" s="12"/>
      <c r="B165" s="12"/>
      <c r="C165" s="12"/>
      <c r="D165" s="12"/>
    </row>
    <row r="166" customHeight="1" spans="1:4">
      <c r="A166" s="12"/>
      <c r="B166" s="12"/>
      <c r="C166" s="12"/>
      <c r="D166" s="12"/>
    </row>
    <row r="167" customHeight="1" spans="1:4">
      <c r="A167" s="12"/>
      <c r="B167" s="12"/>
      <c r="C167" s="12"/>
      <c r="D167" s="12"/>
    </row>
    <row r="168" customHeight="1" spans="1:4">
      <c r="A168" s="12"/>
      <c r="B168" s="12"/>
      <c r="C168" s="12"/>
      <c r="D168" s="12"/>
    </row>
    <row r="169" customHeight="1" spans="1:4">
      <c r="A169" s="12"/>
      <c r="B169" s="12"/>
      <c r="C169" s="12"/>
      <c r="D169" s="12"/>
    </row>
    <row r="170" customHeight="1" spans="1:4">
      <c r="A170" s="12"/>
      <c r="B170" s="12"/>
      <c r="C170" s="12"/>
      <c r="D170" s="12"/>
    </row>
    <row r="171" customHeight="1" spans="1:4">
      <c r="A171" s="12"/>
      <c r="B171" s="12"/>
      <c r="C171" s="12"/>
      <c r="D171" s="12"/>
    </row>
    <row r="172" customHeight="1" spans="1:4">
      <c r="A172" s="12"/>
      <c r="B172" s="12"/>
      <c r="C172" s="12"/>
      <c r="D172" s="12"/>
    </row>
    <row r="173" customHeight="1" spans="1:4">
      <c r="A173" s="12"/>
      <c r="B173" s="12"/>
      <c r="C173" s="12"/>
      <c r="D173" s="12"/>
    </row>
    <row r="174" customHeight="1" spans="1:4">
      <c r="A174" s="12"/>
      <c r="B174" s="12"/>
      <c r="C174" s="12"/>
      <c r="D174" s="12"/>
    </row>
    <row r="175" customHeight="1" spans="1:4">
      <c r="A175" s="12"/>
      <c r="B175" s="12"/>
      <c r="C175" s="12"/>
      <c r="D175" s="12"/>
    </row>
    <row r="176" customHeight="1" spans="1:4">
      <c r="A176" s="12"/>
      <c r="B176" s="12"/>
      <c r="C176" s="12"/>
      <c r="D176" s="12"/>
    </row>
    <row r="177" customHeight="1" spans="1:4">
      <c r="A177" s="12"/>
      <c r="B177" s="12"/>
      <c r="C177" s="12"/>
      <c r="D177" s="12"/>
    </row>
    <row r="178" customHeight="1" spans="1:4">
      <c r="A178" s="12"/>
      <c r="B178" s="12"/>
      <c r="C178" s="12"/>
      <c r="D178" s="12"/>
    </row>
    <row r="179" customHeight="1" spans="1:4">
      <c r="A179" s="12"/>
      <c r="B179" s="12"/>
      <c r="C179" s="12"/>
      <c r="D179" s="12"/>
    </row>
    <row r="180" customHeight="1" spans="1:4">
      <c r="A180" s="12"/>
      <c r="B180" s="12"/>
      <c r="C180" s="12"/>
      <c r="D180" s="12"/>
    </row>
    <row r="181" customHeight="1" spans="1:4">
      <c r="A181" s="12"/>
      <c r="B181" s="12"/>
      <c r="C181" s="12"/>
      <c r="D181" s="12"/>
    </row>
    <row r="182" customHeight="1" spans="1:4">
      <c r="A182" s="12"/>
      <c r="B182" s="12"/>
      <c r="C182" s="12"/>
      <c r="D182" s="12"/>
    </row>
    <row r="183" customHeight="1" spans="1:4">
      <c r="A183" s="12"/>
      <c r="B183" s="12"/>
      <c r="C183" s="12"/>
      <c r="D183" s="12"/>
    </row>
    <row r="184" customHeight="1" spans="1:4">
      <c r="A184" s="12"/>
      <c r="B184" s="12"/>
      <c r="C184" s="12"/>
      <c r="D184" s="12"/>
    </row>
    <row r="185" customHeight="1" spans="1:4">
      <c r="A185" s="12"/>
      <c r="B185" s="12"/>
      <c r="C185" s="12"/>
      <c r="D185" s="12"/>
    </row>
    <row r="186" customHeight="1" spans="1:4">
      <c r="A186" s="12"/>
      <c r="B186" s="12"/>
      <c r="C186" s="12"/>
      <c r="D186" s="12"/>
    </row>
    <row r="187" customHeight="1" spans="1:4">
      <c r="A187" s="12"/>
      <c r="B187" s="12"/>
      <c r="C187" s="12"/>
      <c r="D187" s="12"/>
    </row>
    <row r="188" customHeight="1" spans="1:4">
      <c r="A188" s="12"/>
      <c r="B188" s="12"/>
      <c r="C188" s="12"/>
      <c r="D188" s="12"/>
    </row>
    <row r="189" customHeight="1" spans="1:4">
      <c r="A189" s="12"/>
      <c r="B189" s="12"/>
      <c r="C189" s="12"/>
      <c r="D189" s="12"/>
    </row>
    <row r="190" customHeight="1" spans="1:4">
      <c r="A190" s="12"/>
      <c r="B190" s="12"/>
      <c r="C190" s="12"/>
      <c r="D190" s="12"/>
    </row>
    <row r="191" customHeight="1" spans="1:4">
      <c r="A191" s="12"/>
      <c r="B191" s="12"/>
      <c r="C191" s="12"/>
      <c r="D191" s="12"/>
    </row>
    <row r="192" customHeight="1" spans="1:4">
      <c r="A192" s="12"/>
      <c r="B192" s="12"/>
      <c r="C192" s="12"/>
      <c r="D192" s="12"/>
    </row>
    <row r="193" customHeight="1" spans="1:4">
      <c r="A193" s="12"/>
      <c r="B193" s="12"/>
      <c r="C193" s="12"/>
      <c r="D193" s="12"/>
    </row>
    <row r="194" customHeight="1" spans="1:4">
      <c r="A194" s="12"/>
      <c r="B194" s="12"/>
      <c r="C194" s="12"/>
      <c r="D194" s="12"/>
    </row>
    <row r="195" customHeight="1" spans="1:4">
      <c r="A195" s="12"/>
      <c r="B195" s="12"/>
      <c r="C195" s="12"/>
      <c r="D195" s="12"/>
    </row>
    <row r="196" customHeight="1" spans="1:4">
      <c r="A196" s="12"/>
      <c r="B196" s="12"/>
      <c r="C196" s="12"/>
      <c r="D196" s="12"/>
    </row>
    <row r="197" customHeight="1" spans="1:4">
      <c r="A197" s="12"/>
      <c r="B197" s="12"/>
      <c r="C197" s="12"/>
      <c r="D197" s="12"/>
    </row>
    <row r="198" customHeight="1" spans="1:4">
      <c r="A198" s="12"/>
      <c r="B198" s="12"/>
      <c r="C198" s="12"/>
      <c r="D198" s="12"/>
    </row>
    <row r="199" customHeight="1" spans="1:4">
      <c r="A199" s="12"/>
      <c r="B199" s="12"/>
      <c r="C199" s="12"/>
      <c r="D199" s="12"/>
    </row>
    <row r="200" customHeight="1" spans="1:4">
      <c r="A200" s="12"/>
      <c r="B200" s="12"/>
      <c r="C200" s="12"/>
      <c r="D200" s="12"/>
    </row>
    <row r="201" customHeight="1" spans="1:4">
      <c r="A201" s="12"/>
      <c r="B201" s="12"/>
      <c r="C201" s="12"/>
      <c r="D201" s="12"/>
    </row>
    <row r="202" customHeight="1" spans="1:4">
      <c r="A202" s="12"/>
      <c r="B202" s="12"/>
      <c r="C202" s="12"/>
      <c r="D202" s="12"/>
    </row>
    <row r="203" customHeight="1" spans="1:4">
      <c r="A203" s="12"/>
      <c r="B203" s="12"/>
      <c r="C203" s="12"/>
      <c r="D203" s="12"/>
    </row>
    <row r="204" customHeight="1" spans="1:4">
      <c r="A204" s="12"/>
      <c r="B204" s="12"/>
      <c r="C204" s="12"/>
      <c r="D204" s="12"/>
    </row>
    <row r="205" customHeight="1" spans="1:4">
      <c r="A205" s="12"/>
      <c r="B205" s="12"/>
      <c r="C205" s="12"/>
      <c r="D205" s="12"/>
    </row>
    <row r="206" customHeight="1" spans="1:4">
      <c r="A206" s="12"/>
      <c r="B206" s="12"/>
      <c r="C206" s="12"/>
      <c r="D206" s="12"/>
    </row>
    <row r="207" customHeight="1" spans="1:4">
      <c r="A207" s="12"/>
      <c r="B207" s="12"/>
      <c r="C207" s="12"/>
      <c r="D207" s="12"/>
    </row>
    <row r="208" customHeight="1" spans="1:4">
      <c r="A208" s="12"/>
      <c r="B208" s="12"/>
      <c r="C208" s="12"/>
      <c r="D208" s="12"/>
    </row>
    <row r="209" customHeight="1" spans="1:4">
      <c r="A209" s="12"/>
      <c r="B209" s="12"/>
      <c r="C209" s="12"/>
      <c r="D209" s="12"/>
    </row>
    <row r="210" customHeight="1" spans="1:4">
      <c r="A210" s="12"/>
      <c r="B210" s="12"/>
      <c r="C210" s="12"/>
      <c r="D210" s="12"/>
    </row>
    <row r="211" customHeight="1" spans="1:4">
      <c r="A211" s="12"/>
      <c r="B211" s="12"/>
      <c r="C211" s="12"/>
      <c r="D211" s="12"/>
    </row>
    <row r="212" customHeight="1" spans="1:4">
      <c r="A212" s="12"/>
      <c r="B212" s="12"/>
      <c r="C212" s="12"/>
      <c r="D212" s="12"/>
    </row>
    <row r="213" customHeight="1" spans="1:4">
      <c r="A213" s="12"/>
      <c r="B213" s="12"/>
      <c r="C213" s="12"/>
      <c r="D213" s="12"/>
    </row>
    <row r="214" customHeight="1" spans="1:4">
      <c r="A214" s="12"/>
      <c r="B214" s="12"/>
      <c r="C214" s="12"/>
      <c r="D214" s="12"/>
    </row>
    <row r="215" customHeight="1" spans="1:4">
      <c r="A215" s="12"/>
      <c r="B215" s="12"/>
      <c r="C215" s="12"/>
      <c r="D215" s="12"/>
    </row>
    <row r="216" customHeight="1" spans="1:4">
      <c r="A216" s="12"/>
      <c r="B216" s="12"/>
      <c r="C216" s="12"/>
      <c r="D216" s="12"/>
    </row>
    <row r="217" customHeight="1" spans="1:4">
      <c r="A217" s="12"/>
      <c r="B217" s="12"/>
      <c r="C217" s="12"/>
      <c r="D217" s="12"/>
    </row>
    <row r="218" customHeight="1" spans="1:4">
      <c r="A218" s="12"/>
      <c r="B218" s="12"/>
      <c r="C218" s="12"/>
      <c r="D218" s="12"/>
    </row>
    <row r="219" customHeight="1" spans="1:4">
      <c r="A219" s="12"/>
      <c r="B219" s="12"/>
      <c r="C219" s="12"/>
      <c r="D219" s="12"/>
    </row>
    <row r="220" customHeight="1" spans="1:4">
      <c r="A220" s="12"/>
      <c r="B220" s="12"/>
      <c r="C220" s="12"/>
      <c r="D220" s="12"/>
    </row>
    <row r="221" customHeight="1" spans="1:4">
      <c r="A221" s="12"/>
      <c r="B221" s="12"/>
      <c r="C221" s="12"/>
      <c r="D221" s="12"/>
    </row>
    <row r="222" customHeight="1" spans="1:4">
      <c r="A222" s="12"/>
      <c r="B222" s="12"/>
      <c r="C222" s="12"/>
      <c r="D222" s="12"/>
    </row>
    <row r="223" customHeight="1" spans="1:4">
      <c r="A223" s="12"/>
      <c r="B223" s="12"/>
      <c r="C223" s="12"/>
      <c r="D223" s="12"/>
    </row>
    <row r="224" customHeight="1" spans="1:4">
      <c r="A224" s="12"/>
      <c r="B224" s="12"/>
      <c r="C224" s="12"/>
      <c r="D224" s="12"/>
    </row>
    <row r="225" customHeight="1" spans="1:4">
      <c r="A225" s="12"/>
      <c r="B225" s="12"/>
      <c r="C225" s="12"/>
      <c r="D225" s="12"/>
    </row>
    <row r="226" customHeight="1" spans="1:4">
      <c r="A226" s="12"/>
      <c r="B226" s="12"/>
      <c r="C226" s="12"/>
      <c r="D226" s="12"/>
    </row>
    <row r="227" customHeight="1" spans="1:4">
      <c r="A227" s="12"/>
      <c r="B227" s="12"/>
      <c r="C227" s="12"/>
      <c r="D227" s="12"/>
    </row>
    <row r="228" customHeight="1" spans="1:4">
      <c r="A228" s="12"/>
      <c r="B228" s="12"/>
      <c r="C228" s="12"/>
      <c r="D228" s="12"/>
    </row>
    <row r="229" customHeight="1" spans="1:4">
      <c r="A229" s="12"/>
      <c r="B229" s="12"/>
      <c r="C229" s="12"/>
      <c r="D229" s="12"/>
    </row>
    <row r="230" customHeight="1" spans="1:4">
      <c r="A230" s="12"/>
      <c r="B230" s="12"/>
      <c r="C230" s="12"/>
      <c r="D230" s="12"/>
    </row>
    <row r="231" customHeight="1" spans="1:4">
      <c r="A231" s="12"/>
      <c r="B231" s="12"/>
      <c r="C231" s="12"/>
      <c r="D231" s="12"/>
    </row>
    <row r="232" customHeight="1" spans="1:4">
      <c r="A232" s="12"/>
      <c r="B232" s="12"/>
      <c r="C232" s="12"/>
      <c r="D232" s="12"/>
    </row>
    <row r="233" customHeight="1" spans="1:4">
      <c r="A233" s="12"/>
      <c r="B233" s="12"/>
      <c r="C233" s="12"/>
      <c r="D233" s="12"/>
    </row>
    <row r="234" customHeight="1" spans="1:4">
      <c r="A234" s="12"/>
      <c r="B234" s="12"/>
      <c r="C234" s="12"/>
      <c r="D234" s="12"/>
    </row>
    <row r="235" customHeight="1" spans="1:4">
      <c r="A235" s="12"/>
      <c r="B235" s="12"/>
      <c r="C235" s="12"/>
      <c r="D235" s="12"/>
    </row>
    <row r="236" customHeight="1" spans="1:4">
      <c r="A236" s="12"/>
      <c r="B236" s="12"/>
      <c r="C236" s="12"/>
      <c r="D236" s="12"/>
    </row>
    <row r="237" customHeight="1" spans="1:4">
      <c r="A237" s="12"/>
      <c r="B237" s="12"/>
      <c r="C237" s="12"/>
      <c r="D237" s="12"/>
    </row>
    <row r="238" customHeight="1" spans="1:4">
      <c r="A238" s="12"/>
      <c r="B238" s="12"/>
      <c r="C238" s="12"/>
      <c r="D238" s="12"/>
    </row>
    <row r="239" customHeight="1" spans="1:4">
      <c r="A239" s="12"/>
      <c r="B239" s="12"/>
      <c r="C239" s="12"/>
      <c r="D239" s="12"/>
    </row>
    <row r="240" customHeight="1" spans="1:4">
      <c r="A240" s="12"/>
      <c r="B240" s="12"/>
      <c r="C240" s="12"/>
      <c r="D240" s="12"/>
    </row>
    <row r="241" customHeight="1" spans="1:4">
      <c r="A241" s="12"/>
      <c r="B241" s="12"/>
      <c r="C241" s="12"/>
      <c r="D241" s="12"/>
    </row>
    <row r="242" customHeight="1" spans="1:4">
      <c r="A242" s="12"/>
      <c r="B242" s="12"/>
      <c r="C242" s="12"/>
      <c r="D242" s="12"/>
    </row>
    <row r="243" customHeight="1" spans="1:4">
      <c r="A243" s="12"/>
      <c r="B243" s="12"/>
      <c r="C243" s="12"/>
      <c r="D243" s="12"/>
    </row>
    <row r="244" customHeight="1" spans="1:4">
      <c r="A244" s="12"/>
      <c r="B244" s="12"/>
      <c r="C244" s="12"/>
      <c r="D244" s="12"/>
    </row>
    <row r="245" customHeight="1" spans="1:4">
      <c r="A245" s="12"/>
      <c r="B245" s="12"/>
      <c r="C245" s="12"/>
      <c r="D245" s="12"/>
    </row>
    <row r="246" customHeight="1" spans="1:4">
      <c r="A246" s="12"/>
      <c r="B246" s="12"/>
      <c r="C246" s="12"/>
      <c r="D246" s="12"/>
    </row>
    <row r="247" customHeight="1" spans="1:4">
      <c r="A247" s="12"/>
      <c r="B247" s="12"/>
      <c r="C247" s="12"/>
      <c r="D247" s="12"/>
    </row>
    <row r="248" customHeight="1" spans="1:4">
      <c r="A248" s="12"/>
      <c r="B248" s="12"/>
      <c r="C248" s="12"/>
      <c r="D248" s="12"/>
    </row>
    <row r="249" customHeight="1" spans="1:4">
      <c r="A249" s="12"/>
      <c r="B249" s="12"/>
      <c r="C249" s="12"/>
      <c r="D249" s="12"/>
    </row>
    <row r="250" customHeight="1" spans="1:4">
      <c r="A250" s="12"/>
      <c r="B250" s="12"/>
      <c r="C250" s="12"/>
      <c r="D250" s="12"/>
    </row>
    <row r="251" customHeight="1" spans="1:4">
      <c r="A251" s="12"/>
      <c r="B251" s="12"/>
      <c r="C251" s="12"/>
      <c r="D251" s="12"/>
    </row>
    <row r="252" customHeight="1" spans="1:4">
      <c r="A252" s="12"/>
      <c r="B252" s="12"/>
      <c r="C252" s="12"/>
      <c r="D252" s="12"/>
    </row>
    <row r="253" customHeight="1" spans="1:4">
      <c r="A253" s="12"/>
      <c r="B253" s="12"/>
      <c r="C253" s="12"/>
      <c r="D253" s="12"/>
    </row>
    <row r="254" customHeight="1" spans="1:4">
      <c r="A254" s="12"/>
      <c r="B254" s="12"/>
      <c r="C254" s="12"/>
      <c r="D254" s="12"/>
    </row>
    <row r="255" customHeight="1" spans="1:4">
      <c r="A255" s="12"/>
      <c r="B255" s="12"/>
      <c r="C255" s="12"/>
      <c r="D255" s="12"/>
    </row>
    <row r="256" customHeight="1" spans="1:4">
      <c r="A256" s="12"/>
      <c r="B256" s="12"/>
      <c r="C256" s="12"/>
      <c r="D256" s="12"/>
    </row>
    <row r="257" customHeight="1" spans="1:4">
      <c r="A257" s="12"/>
      <c r="B257" s="12"/>
      <c r="C257" s="12"/>
      <c r="D257" s="12"/>
    </row>
    <row r="258" customHeight="1" spans="1:4">
      <c r="A258" s="12"/>
      <c r="B258" s="12"/>
      <c r="C258" s="12"/>
      <c r="D258" s="12"/>
    </row>
    <row r="259" customHeight="1" spans="1:4">
      <c r="A259" s="12"/>
      <c r="B259" s="12"/>
      <c r="C259" s="12"/>
      <c r="D259" s="12"/>
    </row>
    <row r="260" customHeight="1" spans="1:4">
      <c r="A260" s="12"/>
      <c r="B260" s="12"/>
      <c r="C260" s="12"/>
      <c r="D260" s="12"/>
    </row>
    <row r="261" customHeight="1" spans="1:4">
      <c r="A261" s="12"/>
      <c r="B261" s="12"/>
      <c r="C261" s="12"/>
      <c r="D261" s="12"/>
    </row>
    <row r="262" customHeight="1" spans="1:4">
      <c r="A262" s="12"/>
      <c r="B262" s="12"/>
      <c r="C262" s="12"/>
      <c r="D262" s="12"/>
    </row>
    <row r="263" customHeight="1" spans="1:4">
      <c r="A263" s="12"/>
      <c r="B263" s="12"/>
      <c r="C263" s="12"/>
      <c r="D263" s="12"/>
    </row>
    <row r="264" customHeight="1" spans="1:4">
      <c r="A264" s="12"/>
      <c r="B264" s="12"/>
      <c r="C264" s="12"/>
      <c r="D264" s="12"/>
    </row>
    <row r="265" customHeight="1" spans="1:4">
      <c r="A265" s="12"/>
      <c r="B265" s="12"/>
      <c r="C265" s="12"/>
      <c r="D265" s="12"/>
    </row>
    <row r="266" customHeight="1" spans="1:4">
      <c r="A266" s="12"/>
      <c r="B266" s="12"/>
      <c r="C266" s="12"/>
      <c r="D266" s="12"/>
    </row>
    <row r="267" customHeight="1" spans="1:4">
      <c r="A267" s="12"/>
      <c r="B267" s="12"/>
      <c r="C267" s="12"/>
      <c r="D267" s="12"/>
    </row>
    <row r="268" customHeight="1" spans="1:4">
      <c r="A268" s="12"/>
      <c r="B268" s="12"/>
      <c r="C268" s="12"/>
      <c r="D268" s="12"/>
    </row>
    <row r="269" customHeight="1" spans="1:4">
      <c r="A269" s="12"/>
      <c r="B269" s="12"/>
      <c r="C269" s="12"/>
      <c r="D269" s="12"/>
    </row>
    <row r="270" customHeight="1" spans="1:4">
      <c r="A270" s="12"/>
      <c r="B270" s="12"/>
      <c r="C270" s="12"/>
      <c r="D270" s="12"/>
    </row>
    <row r="271" customHeight="1" spans="1:4">
      <c r="A271" s="12"/>
      <c r="B271" s="12"/>
      <c r="C271" s="12"/>
      <c r="D271" s="12"/>
    </row>
    <row r="272" customHeight="1" spans="1:4">
      <c r="A272" s="12"/>
      <c r="B272" s="12"/>
      <c r="C272" s="12"/>
      <c r="D272" s="12"/>
    </row>
    <row r="273" customHeight="1" spans="1:4">
      <c r="A273" s="12"/>
      <c r="B273" s="12"/>
      <c r="C273" s="12"/>
      <c r="D273" s="12"/>
    </row>
    <row r="274" customHeight="1" spans="1:4">
      <c r="A274" s="12"/>
      <c r="B274" s="12"/>
      <c r="C274" s="12"/>
      <c r="D274" s="12"/>
    </row>
    <row r="275" customHeight="1" spans="1:4">
      <c r="A275" s="12"/>
      <c r="B275" s="12"/>
      <c r="C275" s="12"/>
      <c r="D275" s="12"/>
    </row>
    <row r="276" customHeight="1" spans="1:4">
      <c r="A276" s="12"/>
      <c r="B276" s="12"/>
      <c r="C276" s="12"/>
      <c r="D276" s="12"/>
    </row>
    <row r="277" customHeight="1" spans="1:4">
      <c r="A277" s="12"/>
      <c r="B277" s="12"/>
      <c r="C277" s="12"/>
      <c r="D277" s="12"/>
    </row>
    <row r="278" customHeight="1" spans="1:4">
      <c r="A278" s="12"/>
      <c r="B278" s="12"/>
      <c r="C278" s="12"/>
      <c r="D278" s="12"/>
    </row>
    <row r="279" customHeight="1" spans="1:4">
      <c r="A279" s="12"/>
      <c r="B279" s="12"/>
      <c r="C279" s="12"/>
      <c r="D279" s="12"/>
    </row>
    <row r="280" customHeight="1" spans="1:4">
      <c r="A280" s="12"/>
      <c r="B280" s="12"/>
      <c r="C280" s="12"/>
      <c r="D280" s="12"/>
    </row>
    <row r="281" customHeight="1" spans="1:4">
      <c r="A281" s="12"/>
      <c r="B281" s="12"/>
      <c r="C281" s="12"/>
      <c r="D281" s="12"/>
    </row>
    <row r="282" customHeight="1" spans="1:4">
      <c r="A282" s="12"/>
      <c r="B282" s="12"/>
      <c r="C282" s="12"/>
      <c r="D282" s="12"/>
    </row>
    <row r="283" customHeight="1" spans="1:4">
      <c r="A283" s="12"/>
      <c r="B283" s="12"/>
      <c r="C283" s="12"/>
      <c r="D283" s="12"/>
    </row>
    <row r="284" customHeight="1" spans="1:4">
      <c r="A284" s="12"/>
      <c r="B284" s="12"/>
      <c r="C284" s="12"/>
      <c r="D284" s="12"/>
    </row>
    <row r="285" customHeight="1" spans="1:4">
      <c r="A285" s="12"/>
      <c r="B285" s="12"/>
      <c r="C285" s="12"/>
      <c r="D285" s="12"/>
    </row>
    <row r="286" customHeight="1" spans="1:4">
      <c r="A286" s="12"/>
      <c r="B286" s="12"/>
      <c r="C286" s="12"/>
      <c r="D286" s="12"/>
    </row>
    <row r="287" customHeight="1" spans="1:4">
      <c r="A287" s="12"/>
      <c r="B287" s="12"/>
      <c r="C287" s="12"/>
      <c r="D287" s="12"/>
    </row>
    <row r="288" customHeight="1" spans="1:4">
      <c r="A288" s="12"/>
      <c r="B288" s="12"/>
      <c r="C288" s="12"/>
      <c r="D288" s="12"/>
    </row>
    <row r="289" customHeight="1" spans="1:4">
      <c r="A289" s="12"/>
      <c r="B289" s="12"/>
      <c r="C289" s="12"/>
      <c r="D289" s="12"/>
    </row>
    <row r="290" customHeight="1" spans="1:4">
      <c r="A290" s="12"/>
      <c r="B290" s="12"/>
      <c r="C290" s="12"/>
      <c r="D290" s="12"/>
    </row>
    <row r="291" customHeight="1" spans="1:4">
      <c r="A291" s="12"/>
      <c r="B291" s="12"/>
      <c r="C291" s="12"/>
      <c r="D291" s="12"/>
    </row>
    <row r="292" customHeight="1" spans="1:4">
      <c r="A292" s="12"/>
      <c r="B292" s="12"/>
      <c r="C292" s="12"/>
      <c r="D292" s="12"/>
    </row>
    <row r="293" customHeight="1" spans="1:4">
      <c r="A293" s="12"/>
      <c r="B293" s="12"/>
      <c r="C293" s="12"/>
      <c r="D293" s="12"/>
    </row>
    <row r="294" customHeight="1" spans="1:4">
      <c r="A294" s="12"/>
      <c r="B294" s="12"/>
      <c r="C294" s="12"/>
      <c r="D294" s="12"/>
    </row>
    <row r="295" customHeight="1" spans="1:4">
      <c r="A295" s="12"/>
      <c r="B295" s="12"/>
      <c r="C295" s="12"/>
      <c r="D295" s="12"/>
    </row>
    <row r="296" customHeight="1" spans="1:4">
      <c r="A296" s="12"/>
      <c r="B296" s="12"/>
      <c r="C296" s="12"/>
      <c r="D296" s="12"/>
    </row>
    <row r="297" customHeight="1" spans="1:4">
      <c r="A297" s="12"/>
      <c r="B297" s="12"/>
      <c r="C297" s="12"/>
      <c r="D297" s="12"/>
    </row>
    <row r="298" customHeight="1" spans="1:4">
      <c r="A298" s="12"/>
      <c r="B298" s="12"/>
      <c r="C298" s="12"/>
      <c r="D298" s="12"/>
    </row>
    <row r="299" customHeight="1" spans="1:4">
      <c r="A299" s="12"/>
      <c r="B299" s="12"/>
      <c r="C299" s="12"/>
      <c r="D299" s="12"/>
    </row>
    <row r="300" customHeight="1" spans="1:4">
      <c r="A300" s="12"/>
      <c r="B300" s="12"/>
      <c r="C300" s="12"/>
      <c r="D300" s="12"/>
    </row>
    <row r="301" customHeight="1" spans="1:4">
      <c r="A301" s="12"/>
      <c r="B301" s="12"/>
      <c r="C301" s="12"/>
      <c r="D301" s="12"/>
    </row>
    <row r="302" customHeight="1" spans="1:4">
      <c r="A302" s="12"/>
      <c r="B302" s="12"/>
      <c r="C302" s="12"/>
      <c r="D302" s="12"/>
    </row>
    <row r="303" customHeight="1" spans="1:4">
      <c r="A303" s="12"/>
      <c r="B303" s="12"/>
      <c r="C303" s="12"/>
      <c r="D303" s="12"/>
    </row>
    <row r="304" customHeight="1" spans="1:4">
      <c r="A304" s="12"/>
      <c r="B304" s="12"/>
      <c r="C304" s="12"/>
      <c r="D304" s="12"/>
    </row>
    <row r="305" customHeight="1" spans="1:4">
      <c r="A305" s="12"/>
      <c r="B305" s="12"/>
      <c r="C305" s="12"/>
      <c r="D305" s="12"/>
    </row>
    <row r="306" customHeight="1" spans="1:4">
      <c r="A306" s="12"/>
      <c r="B306" s="12"/>
      <c r="C306" s="12"/>
      <c r="D306" s="12"/>
    </row>
    <row r="307" customHeight="1" spans="1:4">
      <c r="A307" s="12"/>
      <c r="B307" s="12"/>
      <c r="C307" s="12"/>
      <c r="D307" s="12"/>
    </row>
    <row r="308" customHeight="1" spans="1:4">
      <c r="A308" s="12"/>
      <c r="B308" s="12"/>
      <c r="C308" s="12"/>
      <c r="D308" s="12"/>
    </row>
    <row r="309" customHeight="1" spans="1:4">
      <c r="A309" s="12"/>
      <c r="B309" s="12"/>
      <c r="C309" s="12"/>
      <c r="D309" s="12"/>
    </row>
    <row r="310" customHeight="1" spans="1:4">
      <c r="A310" s="12"/>
      <c r="B310" s="12"/>
      <c r="C310" s="12"/>
      <c r="D310" s="12"/>
    </row>
    <row r="311" customHeight="1" spans="1:4">
      <c r="A311" s="12"/>
      <c r="B311" s="12"/>
      <c r="C311" s="12"/>
      <c r="D311" s="12"/>
    </row>
    <row r="312" customHeight="1" spans="1:4">
      <c r="A312" s="12"/>
      <c r="B312" s="12"/>
      <c r="C312" s="12"/>
      <c r="D312" s="12"/>
    </row>
    <row r="313" customHeight="1" spans="1:4">
      <c r="A313" s="12"/>
      <c r="B313" s="12"/>
      <c r="C313" s="12"/>
      <c r="D313" s="12"/>
    </row>
    <row r="314" customHeight="1" spans="1:4">
      <c r="A314" s="12"/>
      <c r="B314" s="12"/>
      <c r="C314" s="12"/>
      <c r="D314" s="12"/>
    </row>
    <row r="315" customHeight="1" spans="1:4">
      <c r="A315" s="12"/>
      <c r="B315" s="12"/>
      <c r="C315" s="12"/>
      <c r="D315" s="12"/>
    </row>
    <row r="316" customHeight="1" spans="1:4">
      <c r="A316" s="12"/>
      <c r="B316" s="12"/>
      <c r="C316" s="12"/>
      <c r="D316" s="12"/>
    </row>
    <row r="317" customHeight="1" spans="1:4">
      <c r="A317" s="12"/>
      <c r="B317" s="12"/>
      <c r="C317" s="12"/>
      <c r="D317" s="12"/>
    </row>
    <row r="318" customHeight="1" spans="1:4">
      <c r="A318" s="12"/>
      <c r="B318" s="12"/>
      <c r="C318" s="12"/>
      <c r="D318" s="12"/>
    </row>
    <row r="319" customHeight="1" spans="1:4">
      <c r="A319" s="12"/>
      <c r="B319" s="12"/>
      <c r="C319" s="12"/>
      <c r="D319" s="12"/>
    </row>
    <row r="320" customHeight="1" spans="1:4">
      <c r="A320" s="12"/>
      <c r="B320" s="12"/>
      <c r="C320" s="12"/>
      <c r="D320" s="12"/>
    </row>
    <row r="321" customHeight="1" spans="1:4">
      <c r="A321" s="12"/>
      <c r="B321" s="12"/>
      <c r="C321" s="12"/>
      <c r="D321" s="12"/>
    </row>
    <row r="322" customHeight="1" spans="1:4">
      <c r="A322" s="12"/>
      <c r="B322" s="12"/>
      <c r="C322" s="12"/>
      <c r="D322" s="12"/>
    </row>
    <row r="323" customHeight="1" spans="1:4">
      <c r="A323" s="12"/>
      <c r="B323" s="12"/>
      <c r="C323" s="12"/>
      <c r="D323" s="12"/>
    </row>
    <row r="324" customHeight="1" spans="1:4">
      <c r="A324" s="12"/>
      <c r="B324" s="12"/>
      <c r="C324" s="12"/>
      <c r="D324" s="12"/>
    </row>
    <row r="325" customHeight="1" spans="1:4">
      <c r="A325" s="12"/>
      <c r="B325" s="12"/>
      <c r="C325" s="12"/>
      <c r="D325" s="12"/>
    </row>
    <row r="326" customHeight="1" spans="1:4">
      <c r="A326" s="12"/>
      <c r="B326" s="12"/>
      <c r="C326" s="12"/>
      <c r="D326" s="12"/>
    </row>
    <row r="327" customHeight="1" spans="1:4">
      <c r="A327" s="12"/>
      <c r="B327" s="12"/>
      <c r="C327" s="12"/>
      <c r="D327" s="12"/>
    </row>
    <row r="328" customHeight="1" spans="1:4">
      <c r="A328" s="12"/>
      <c r="B328" s="12"/>
      <c r="C328" s="12"/>
      <c r="D328" s="12"/>
    </row>
    <row r="329" customHeight="1" spans="1:4">
      <c r="A329" s="12"/>
      <c r="B329" s="12"/>
      <c r="C329" s="12"/>
      <c r="D329" s="12"/>
    </row>
    <row r="330" customHeight="1" spans="1:4">
      <c r="A330" s="12"/>
      <c r="B330" s="12"/>
      <c r="C330" s="12"/>
      <c r="D330" s="12"/>
    </row>
    <row r="331" customHeight="1" spans="1:4">
      <c r="A331" s="12"/>
      <c r="B331" s="12"/>
      <c r="C331" s="12"/>
      <c r="D331" s="12"/>
    </row>
    <row r="332" customHeight="1" spans="1:4">
      <c r="A332" s="12"/>
      <c r="B332" s="12"/>
      <c r="C332" s="12"/>
      <c r="D332" s="12"/>
    </row>
    <row r="333" customHeight="1" spans="1:4">
      <c r="A333" s="12"/>
      <c r="B333" s="12"/>
      <c r="C333" s="12"/>
      <c r="D333" s="12"/>
    </row>
    <row r="334" customHeight="1" spans="1:4">
      <c r="A334" s="12"/>
      <c r="B334" s="12"/>
      <c r="C334" s="12"/>
      <c r="D334" s="12"/>
    </row>
    <row r="335" customHeight="1" spans="1:4">
      <c r="A335" s="12"/>
      <c r="B335" s="12"/>
      <c r="C335" s="12"/>
      <c r="D335" s="12"/>
    </row>
    <row r="336" customHeight="1" spans="1:4">
      <c r="A336" s="12"/>
      <c r="B336" s="12"/>
      <c r="C336" s="12"/>
      <c r="D336" s="12"/>
    </row>
    <row r="337" customHeight="1" spans="1:4">
      <c r="A337" s="12"/>
      <c r="B337" s="12"/>
      <c r="C337" s="12"/>
      <c r="D337" s="12"/>
    </row>
    <row r="338" customHeight="1" spans="1:4">
      <c r="A338" s="12"/>
      <c r="B338" s="12"/>
      <c r="C338" s="12"/>
      <c r="D338" s="12"/>
    </row>
    <row r="339" customHeight="1" spans="1:4">
      <c r="A339" s="12"/>
      <c r="B339" s="12"/>
      <c r="C339" s="12"/>
      <c r="D339" s="12"/>
    </row>
    <row r="340" customHeight="1" spans="1:4">
      <c r="A340" s="12"/>
      <c r="B340" s="12"/>
      <c r="C340" s="12"/>
      <c r="D340" s="12"/>
    </row>
    <row r="341" customHeight="1" spans="1:4">
      <c r="A341" s="12"/>
      <c r="B341" s="12"/>
      <c r="C341" s="12"/>
      <c r="D341" s="12"/>
    </row>
    <row r="342" customHeight="1" spans="1:4">
      <c r="A342" s="12"/>
      <c r="B342" s="12"/>
      <c r="C342" s="12"/>
      <c r="D342" s="12"/>
    </row>
    <row r="343" customHeight="1" spans="1:4">
      <c r="A343" s="12"/>
      <c r="B343" s="12"/>
      <c r="C343" s="12"/>
      <c r="D343" s="12"/>
    </row>
    <row r="344" customHeight="1" spans="1:4">
      <c r="A344" s="12"/>
      <c r="B344" s="12"/>
      <c r="C344" s="12"/>
      <c r="D344" s="12"/>
    </row>
    <row r="345" customHeight="1" spans="1:4">
      <c r="A345" s="12"/>
      <c r="B345" s="12"/>
      <c r="C345" s="12"/>
      <c r="D345" s="12"/>
    </row>
    <row r="346" customHeight="1" spans="1:4">
      <c r="A346" s="12"/>
      <c r="B346" s="12"/>
      <c r="C346" s="12"/>
      <c r="D346" s="12"/>
    </row>
    <row r="347" customHeight="1" spans="1:4">
      <c r="A347" s="12"/>
      <c r="B347" s="12"/>
      <c r="C347" s="12"/>
      <c r="D347" s="12"/>
    </row>
    <row r="348" customHeight="1" spans="1:4">
      <c r="A348" s="12"/>
      <c r="B348" s="12"/>
      <c r="C348" s="12"/>
      <c r="D348" s="12"/>
    </row>
    <row r="349" customHeight="1" spans="1:4">
      <c r="A349" s="12"/>
      <c r="B349" s="12"/>
      <c r="C349" s="12"/>
      <c r="D349" s="12"/>
    </row>
    <row r="350" customHeight="1" spans="1:4">
      <c r="A350" s="12"/>
      <c r="B350" s="12"/>
      <c r="C350" s="12"/>
      <c r="D350" s="12"/>
    </row>
    <row r="351" customHeight="1" spans="1:4">
      <c r="A351" s="12"/>
      <c r="B351" s="12"/>
      <c r="C351" s="12"/>
      <c r="D351" s="12"/>
    </row>
    <row r="352" customHeight="1" spans="1:4">
      <c r="A352" s="12"/>
      <c r="B352" s="12"/>
      <c r="C352" s="12"/>
      <c r="D352" s="12"/>
    </row>
    <row r="353" customHeight="1" spans="1:4">
      <c r="A353" s="12"/>
      <c r="B353" s="12"/>
      <c r="C353" s="12"/>
      <c r="D353" s="12"/>
    </row>
    <row r="354" customHeight="1" spans="1:4">
      <c r="A354" s="12"/>
      <c r="B354" s="12"/>
      <c r="C354" s="12"/>
      <c r="D354" s="12"/>
    </row>
    <row r="355" customHeight="1" spans="1:4">
      <c r="A355" s="12"/>
      <c r="B355" s="12"/>
      <c r="C355" s="12"/>
      <c r="D355" s="12"/>
    </row>
    <row r="356" customHeight="1" spans="1:4">
      <c r="A356" s="12"/>
      <c r="B356" s="12"/>
      <c r="C356" s="12"/>
      <c r="D356" s="12"/>
    </row>
    <row r="357" customHeight="1" spans="1:4">
      <c r="A357" s="12"/>
      <c r="B357" s="12"/>
      <c r="C357" s="12"/>
      <c r="D357" s="12"/>
    </row>
    <row r="358" customHeight="1" spans="1:4">
      <c r="A358" s="12"/>
      <c r="B358" s="12"/>
      <c r="C358" s="12"/>
      <c r="D358" s="12"/>
    </row>
    <row r="359" customHeight="1" spans="1:4">
      <c r="A359" s="12"/>
      <c r="B359" s="12"/>
      <c r="C359" s="12"/>
      <c r="D359" s="12"/>
    </row>
    <row r="360" customHeight="1" spans="1:4">
      <c r="A360" s="12"/>
      <c r="B360" s="12"/>
      <c r="C360" s="12"/>
      <c r="D360" s="12"/>
    </row>
    <row r="361" customHeight="1" spans="1:4">
      <c r="A361" s="12"/>
      <c r="B361" s="12"/>
      <c r="C361" s="12"/>
      <c r="D361" s="12"/>
    </row>
    <row r="362" customHeight="1" spans="1:4">
      <c r="A362" s="12"/>
      <c r="B362" s="12"/>
      <c r="C362" s="12"/>
      <c r="D362" s="12"/>
    </row>
    <row r="363" customHeight="1" spans="1:4">
      <c r="A363" s="12"/>
      <c r="B363" s="12"/>
      <c r="C363" s="12"/>
      <c r="D363" s="12"/>
    </row>
    <row r="364" customHeight="1" spans="1:4">
      <c r="A364" s="12"/>
      <c r="B364" s="12"/>
      <c r="C364" s="12"/>
      <c r="D364" s="12"/>
    </row>
    <row r="365" customHeight="1" spans="1:4">
      <c r="A365" s="12"/>
      <c r="B365" s="12"/>
      <c r="C365" s="12"/>
      <c r="D365" s="12"/>
    </row>
    <row r="366" customHeight="1" spans="1:4">
      <c r="A366" s="12"/>
      <c r="B366" s="12"/>
      <c r="C366" s="12"/>
      <c r="D366" s="12"/>
    </row>
    <row r="367" customHeight="1" spans="1:4">
      <c r="A367" s="12"/>
      <c r="B367" s="12"/>
      <c r="C367" s="12"/>
      <c r="D367" s="12"/>
    </row>
    <row r="368" customHeight="1" spans="1:4">
      <c r="A368" s="12"/>
      <c r="B368" s="12"/>
      <c r="C368" s="12"/>
      <c r="D368" s="12"/>
    </row>
    <row r="369" customHeight="1" spans="1:4">
      <c r="A369" s="12"/>
      <c r="B369" s="12"/>
      <c r="C369" s="12"/>
      <c r="D369" s="12"/>
    </row>
    <row r="370" customHeight="1" spans="1:4">
      <c r="A370" s="12"/>
      <c r="B370" s="12"/>
      <c r="C370" s="12"/>
      <c r="D370" s="12"/>
    </row>
    <row r="371" customHeight="1" spans="1:4">
      <c r="A371" s="12"/>
      <c r="B371" s="12"/>
      <c r="C371" s="12"/>
      <c r="D371" s="12"/>
    </row>
    <row r="372" customHeight="1" spans="1:4">
      <c r="A372" s="12"/>
      <c r="B372" s="12"/>
      <c r="C372" s="12"/>
      <c r="D372" s="12"/>
    </row>
    <row r="373" customHeight="1" spans="1:4">
      <c r="A373" s="12"/>
      <c r="B373" s="12"/>
      <c r="C373" s="12"/>
      <c r="D373" s="12"/>
    </row>
    <row r="374" customHeight="1" spans="1:4">
      <c r="A374" s="12"/>
      <c r="B374" s="12"/>
      <c r="C374" s="12"/>
      <c r="D374" s="12"/>
    </row>
    <row r="375" customHeight="1" spans="1:4">
      <c r="A375" s="12"/>
      <c r="B375" s="12"/>
      <c r="C375" s="12"/>
      <c r="D375" s="12"/>
    </row>
    <row r="376" customHeight="1" spans="1:4">
      <c r="A376" s="12"/>
      <c r="B376" s="12"/>
      <c r="C376" s="12"/>
      <c r="D376" s="12"/>
    </row>
    <row r="377" customHeight="1" spans="1:4">
      <c r="A377" s="12"/>
      <c r="B377" s="12"/>
      <c r="C377" s="12"/>
      <c r="D377" s="12"/>
    </row>
    <row r="378" customHeight="1" spans="1:4">
      <c r="A378" s="12"/>
      <c r="B378" s="12"/>
      <c r="C378" s="12"/>
      <c r="D378" s="12"/>
    </row>
    <row r="379" customHeight="1" spans="1:4">
      <c r="A379" s="12"/>
      <c r="B379" s="12"/>
      <c r="C379" s="12"/>
      <c r="D379" s="12"/>
    </row>
    <row r="380" customHeight="1" spans="1:4">
      <c r="A380" s="12"/>
      <c r="B380" s="12"/>
      <c r="C380" s="12"/>
      <c r="D380" s="12"/>
    </row>
    <row r="381" customHeight="1" spans="1:4">
      <c r="A381" s="12"/>
      <c r="B381" s="12"/>
      <c r="C381" s="12"/>
      <c r="D381" s="12"/>
    </row>
    <row r="382" customHeight="1" spans="1:4">
      <c r="A382" s="12"/>
      <c r="B382" s="12"/>
      <c r="C382" s="12"/>
      <c r="D382" s="12"/>
    </row>
    <row r="383" customHeight="1" spans="1:4">
      <c r="A383" s="12"/>
      <c r="B383" s="12"/>
      <c r="C383" s="12"/>
      <c r="D383" s="12"/>
    </row>
    <row r="384" customHeight="1" spans="1:4">
      <c r="A384" s="12"/>
      <c r="B384" s="12"/>
      <c r="C384" s="12"/>
      <c r="D384" s="12"/>
    </row>
    <row r="385" customHeight="1" spans="1:4">
      <c r="A385" s="12"/>
      <c r="B385" s="12"/>
      <c r="C385" s="12"/>
      <c r="D385" s="12"/>
    </row>
    <row r="386" customHeight="1" spans="1:4">
      <c r="A386" s="12"/>
      <c r="B386" s="12"/>
      <c r="C386" s="12"/>
      <c r="D386" s="12"/>
    </row>
    <row r="387" customHeight="1" spans="1:4">
      <c r="A387" s="12"/>
      <c r="B387" s="12"/>
      <c r="C387" s="12"/>
      <c r="D387" s="12"/>
    </row>
    <row r="388" customHeight="1" spans="1:4">
      <c r="A388" s="12"/>
      <c r="B388" s="12"/>
      <c r="C388" s="12"/>
      <c r="D388" s="12"/>
    </row>
    <row r="389" customHeight="1" spans="1:4">
      <c r="A389" s="12"/>
      <c r="B389" s="12"/>
      <c r="C389" s="12"/>
      <c r="D389" s="12"/>
    </row>
    <row r="390" customHeight="1" spans="1:4">
      <c r="A390" s="12"/>
      <c r="B390" s="12"/>
      <c r="C390" s="12"/>
      <c r="D390" s="12"/>
    </row>
    <row r="391" customHeight="1" spans="1:4">
      <c r="A391" s="12"/>
      <c r="B391" s="12"/>
      <c r="C391" s="12"/>
      <c r="D391" s="12"/>
    </row>
    <row r="392" customHeight="1" spans="1:4">
      <c r="A392" s="12"/>
      <c r="B392" s="12"/>
      <c r="C392" s="12"/>
      <c r="D392" s="12"/>
    </row>
    <row r="393" customHeight="1" spans="1:4">
      <c r="A393" s="12"/>
      <c r="B393" s="12"/>
      <c r="C393" s="12"/>
      <c r="D393" s="12"/>
    </row>
    <row r="394" customHeight="1" spans="1:4">
      <c r="A394" s="12"/>
      <c r="B394" s="12"/>
      <c r="C394" s="12"/>
      <c r="D394" s="12"/>
    </row>
    <row r="395" customHeight="1" spans="1:4">
      <c r="A395" s="12"/>
      <c r="B395" s="12"/>
      <c r="C395" s="12"/>
      <c r="D395" s="12"/>
    </row>
    <row r="396" customHeight="1" spans="1:4">
      <c r="A396" s="12"/>
      <c r="B396" s="12"/>
      <c r="C396" s="12"/>
      <c r="D396" s="12"/>
    </row>
    <row r="397" customHeight="1" spans="1:4">
      <c r="A397" s="12"/>
      <c r="B397" s="12"/>
      <c r="C397" s="12"/>
      <c r="D397" s="12"/>
    </row>
    <row r="398" customHeight="1" spans="1:4">
      <c r="A398" s="12"/>
      <c r="B398" s="12"/>
      <c r="C398" s="12"/>
      <c r="D398" s="12"/>
    </row>
    <row r="399" customHeight="1" spans="1:4">
      <c r="A399" s="12"/>
      <c r="B399" s="12"/>
      <c r="C399" s="12"/>
      <c r="D399" s="12"/>
    </row>
    <row r="400" customHeight="1" spans="1:4">
      <c r="A400" s="12"/>
      <c r="B400" s="12"/>
      <c r="C400" s="12"/>
      <c r="D400" s="12"/>
    </row>
    <row r="401" customHeight="1" spans="1:4">
      <c r="A401" s="12"/>
      <c r="B401" s="12"/>
      <c r="C401" s="12"/>
      <c r="D401" s="12"/>
    </row>
    <row r="402" customHeight="1" spans="1:4">
      <c r="A402" s="12"/>
      <c r="B402" s="12"/>
      <c r="C402" s="12"/>
      <c r="D402" s="12"/>
    </row>
    <row r="403" customHeight="1" spans="1:4">
      <c r="A403" s="12"/>
      <c r="B403" s="12"/>
      <c r="C403" s="12"/>
      <c r="D403" s="12"/>
    </row>
    <row r="404" customHeight="1" spans="1:4">
      <c r="A404" s="12"/>
      <c r="B404" s="12"/>
      <c r="C404" s="12"/>
      <c r="D404" s="12"/>
    </row>
    <row r="405" customHeight="1" spans="1:4">
      <c r="A405" s="12"/>
      <c r="B405" s="12"/>
      <c r="C405" s="12"/>
      <c r="D405" s="12"/>
    </row>
    <row r="406" customHeight="1" spans="1:4">
      <c r="A406" s="12"/>
      <c r="B406" s="12"/>
      <c r="C406" s="12"/>
      <c r="D406" s="12"/>
    </row>
    <row r="407" customHeight="1" spans="1:4">
      <c r="A407" s="12"/>
      <c r="B407" s="12"/>
      <c r="C407" s="12"/>
      <c r="D407" s="12"/>
    </row>
    <row r="408" customHeight="1" spans="1:4">
      <c r="A408" s="12"/>
      <c r="B408" s="12"/>
      <c r="C408" s="12"/>
      <c r="D408" s="12"/>
    </row>
    <row r="409" customHeight="1" spans="1:4">
      <c r="A409" s="12"/>
      <c r="B409" s="12"/>
      <c r="C409" s="12"/>
      <c r="D409" s="12"/>
    </row>
    <row r="410" customHeight="1" spans="1:4">
      <c r="A410" s="12"/>
      <c r="B410" s="12"/>
      <c r="C410" s="12"/>
      <c r="D410" s="12"/>
    </row>
    <row r="411" customHeight="1" spans="1:4">
      <c r="A411" s="12"/>
      <c r="B411" s="12"/>
      <c r="C411" s="12"/>
      <c r="D411" s="12"/>
    </row>
    <row r="412" customHeight="1" spans="1:4">
      <c r="A412" s="12"/>
      <c r="B412" s="12"/>
      <c r="C412" s="12"/>
      <c r="D412" s="12"/>
    </row>
    <row r="413" customHeight="1" spans="1:4">
      <c r="A413" s="12"/>
      <c r="B413" s="12"/>
      <c r="C413" s="12"/>
      <c r="D413" s="12"/>
    </row>
    <row r="414" customHeight="1" spans="1:4">
      <c r="A414" s="12"/>
      <c r="B414" s="12"/>
      <c r="C414" s="12"/>
      <c r="D414" s="12"/>
    </row>
    <row r="415" customHeight="1" spans="1:4">
      <c r="A415" s="12"/>
      <c r="B415" s="12"/>
      <c r="C415" s="12"/>
      <c r="D415" s="12"/>
    </row>
    <row r="416" customHeight="1" spans="1:4">
      <c r="A416" s="12"/>
      <c r="B416" s="12"/>
      <c r="C416" s="12"/>
      <c r="D416" s="12"/>
    </row>
    <row r="417" customHeight="1" spans="1:4">
      <c r="A417" s="12"/>
      <c r="B417" s="12"/>
      <c r="C417" s="12"/>
      <c r="D417" s="12"/>
    </row>
    <row r="418" customHeight="1" spans="1:4">
      <c r="A418" s="12"/>
      <c r="B418" s="12"/>
      <c r="C418" s="12"/>
      <c r="D418" s="12"/>
    </row>
    <row r="419" customHeight="1" spans="1:4">
      <c r="A419" s="12"/>
      <c r="B419" s="12"/>
      <c r="C419" s="12"/>
      <c r="D419" s="12"/>
    </row>
    <row r="420" customHeight="1" spans="1:4">
      <c r="A420" s="12"/>
      <c r="B420" s="12"/>
      <c r="C420" s="12"/>
      <c r="D420" s="12"/>
    </row>
    <row r="421" customHeight="1" spans="1:4">
      <c r="A421" s="12"/>
      <c r="B421" s="12"/>
      <c r="C421" s="12"/>
      <c r="D421" s="12"/>
    </row>
    <row r="422" customHeight="1" spans="1:4">
      <c r="A422" s="12"/>
      <c r="B422" s="12"/>
      <c r="C422" s="12"/>
      <c r="D422" s="12"/>
    </row>
    <row r="423" customHeight="1" spans="1:4">
      <c r="A423" s="12"/>
      <c r="B423" s="12"/>
      <c r="C423" s="12"/>
      <c r="D423" s="12"/>
    </row>
    <row r="424" customHeight="1" spans="1:4">
      <c r="A424" s="12"/>
      <c r="B424" s="12"/>
      <c r="C424" s="12"/>
      <c r="D424" s="12"/>
    </row>
    <row r="425" customHeight="1" spans="1:4">
      <c r="A425" s="12"/>
      <c r="B425" s="12"/>
      <c r="C425" s="12"/>
      <c r="D425" s="12"/>
    </row>
    <row r="426" customHeight="1" spans="1:4">
      <c r="A426" s="12"/>
      <c r="B426" s="12"/>
      <c r="C426" s="12"/>
      <c r="D426" s="12"/>
    </row>
    <row r="427" customHeight="1" spans="1:4">
      <c r="A427" s="12"/>
      <c r="B427" s="12"/>
      <c r="C427" s="12"/>
      <c r="D427" s="12"/>
    </row>
    <row r="428" customHeight="1" spans="1:4">
      <c r="A428" s="12"/>
      <c r="B428" s="12"/>
      <c r="C428" s="12"/>
      <c r="D428" s="12"/>
    </row>
    <row r="429" customHeight="1" spans="1:4">
      <c r="A429" s="12"/>
      <c r="B429" s="12"/>
      <c r="C429" s="12"/>
      <c r="D429" s="12"/>
    </row>
    <row r="430" customHeight="1" spans="1:4">
      <c r="A430" s="12"/>
      <c r="B430" s="12"/>
      <c r="C430" s="12"/>
      <c r="D430" s="12"/>
    </row>
    <row r="431" customHeight="1" spans="1:4">
      <c r="A431" s="12"/>
      <c r="B431" s="12"/>
      <c r="C431" s="12"/>
      <c r="D431" s="12"/>
    </row>
    <row r="432" customHeight="1" spans="1:4">
      <c r="A432" s="12"/>
      <c r="B432" s="12"/>
      <c r="C432" s="12"/>
      <c r="D432" s="12"/>
    </row>
    <row r="433" customHeight="1" spans="1:4">
      <c r="A433" s="12"/>
      <c r="B433" s="12"/>
      <c r="C433" s="12"/>
      <c r="D433" s="12"/>
    </row>
    <row r="434" customHeight="1" spans="1:4">
      <c r="A434" s="12"/>
      <c r="B434" s="12"/>
      <c r="C434" s="12"/>
      <c r="D434" s="12"/>
    </row>
    <row r="435" customHeight="1" spans="1:4">
      <c r="A435" s="12"/>
      <c r="B435" s="12"/>
      <c r="C435" s="12"/>
      <c r="D435" s="12"/>
    </row>
    <row r="436" customHeight="1" spans="1:4">
      <c r="A436" s="12"/>
      <c r="B436" s="12"/>
      <c r="C436" s="12"/>
      <c r="D436" s="12"/>
    </row>
    <row r="437" customHeight="1" spans="1:4">
      <c r="A437" s="12"/>
      <c r="B437" s="12"/>
      <c r="C437" s="12"/>
      <c r="D437" s="12"/>
    </row>
    <row r="438" customHeight="1" spans="1:4">
      <c r="A438" s="12"/>
      <c r="B438" s="12"/>
      <c r="C438" s="12"/>
      <c r="D438" s="12"/>
    </row>
    <row r="439" customHeight="1" spans="1:4">
      <c r="A439" s="12"/>
      <c r="B439" s="12"/>
      <c r="C439" s="12"/>
      <c r="D439" s="12"/>
    </row>
    <row r="440" customHeight="1" spans="1:4">
      <c r="A440" s="12"/>
      <c r="B440" s="12"/>
      <c r="C440" s="12"/>
      <c r="D440" s="12"/>
    </row>
    <row r="441" customHeight="1" spans="1:4">
      <c r="A441" s="12"/>
      <c r="B441" s="12"/>
      <c r="C441" s="12"/>
      <c r="D441" s="12"/>
    </row>
    <row r="442" customHeight="1" spans="1:4">
      <c r="A442" s="12"/>
      <c r="B442" s="12"/>
      <c r="C442" s="12"/>
      <c r="D442" s="12"/>
    </row>
    <row r="443" customHeight="1" spans="1:4">
      <c r="A443" s="12"/>
      <c r="B443" s="12"/>
      <c r="C443" s="12"/>
      <c r="D443" s="12"/>
    </row>
    <row r="444" customHeight="1" spans="1:4">
      <c r="A444" s="12"/>
      <c r="B444" s="12"/>
      <c r="C444" s="12"/>
      <c r="D444" s="12"/>
    </row>
    <row r="445" customHeight="1" spans="1:4">
      <c r="A445" s="12"/>
      <c r="B445" s="12"/>
      <c r="C445" s="12"/>
      <c r="D445" s="12"/>
    </row>
    <row r="446" customHeight="1" spans="1:4">
      <c r="A446" s="12"/>
      <c r="B446" s="12"/>
      <c r="C446" s="12"/>
      <c r="D446" s="12"/>
    </row>
    <row r="447" customHeight="1" spans="1:4">
      <c r="A447" s="12"/>
      <c r="B447" s="12"/>
      <c r="C447" s="12"/>
      <c r="D447" s="12"/>
    </row>
    <row r="448" customHeight="1" spans="1:4">
      <c r="A448" s="12"/>
      <c r="B448" s="12"/>
      <c r="C448" s="12"/>
      <c r="D448" s="12"/>
    </row>
    <row r="449" customHeight="1" spans="1:4">
      <c r="A449" s="12"/>
      <c r="B449" s="12"/>
      <c r="C449" s="12"/>
      <c r="D449" s="12"/>
    </row>
    <row r="450" customHeight="1" spans="1:4">
      <c r="A450" s="12"/>
      <c r="B450" s="12"/>
      <c r="C450" s="12"/>
      <c r="D450" s="12"/>
    </row>
    <row r="451" customHeight="1" spans="1:4">
      <c r="A451" s="12"/>
      <c r="B451" s="12"/>
      <c r="C451" s="12"/>
      <c r="D451" s="12"/>
    </row>
    <row r="452" customHeight="1" spans="1:4">
      <c r="A452" s="12"/>
      <c r="B452" s="12"/>
      <c r="C452" s="12"/>
      <c r="D452" s="12"/>
    </row>
    <row r="453" customHeight="1" spans="1:4">
      <c r="A453" s="12"/>
      <c r="B453" s="12"/>
      <c r="C453" s="12"/>
      <c r="D453" s="12"/>
    </row>
    <row r="454" customHeight="1" spans="1:4">
      <c r="A454" s="12"/>
      <c r="B454" s="12"/>
      <c r="C454" s="12"/>
      <c r="D454" s="12"/>
    </row>
    <row r="455" customHeight="1" spans="1:4">
      <c r="A455" s="12"/>
      <c r="B455" s="12"/>
      <c r="C455" s="12"/>
      <c r="D455" s="12"/>
    </row>
    <row r="456" customHeight="1" spans="1:4">
      <c r="A456" s="12"/>
      <c r="B456" s="12"/>
      <c r="C456" s="12"/>
      <c r="D456" s="12"/>
    </row>
    <row r="457" customHeight="1" spans="1:4">
      <c r="A457" s="12"/>
      <c r="B457" s="12"/>
      <c r="C457" s="12"/>
      <c r="D457" s="12"/>
    </row>
    <row r="458" customHeight="1" spans="1:4">
      <c r="A458" s="12"/>
      <c r="B458" s="12"/>
      <c r="C458" s="12"/>
      <c r="D458" s="12"/>
    </row>
    <row r="459" customHeight="1" spans="1:4">
      <c r="A459" s="12"/>
      <c r="B459" s="12"/>
      <c r="C459" s="12"/>
      <c r="D459" s="12"/>
    </row>
    <row r="460" customHeight="1" spans="1:4">
      <c r="A460" s="12"/>
      <c r="B460" s="12"/>
      <c r="C460" s="12"/>
      <c r="D460" s="12"/>
    </row>
    <row r="461" customHeight="1" spans="1:4">
      <c r="A461" s="12"/>
      <c r="B461" s="12"/>
      <c r="C461" s="12"/>
      <c r="D461" s="12"/>
    </row>
    <row r="462" customHeight="1" spans="1:4">
      <c r="A462" s="12"/>
      <c r="B462" s="12"/>
      <c r="C462" s="12"/>
      <c r="D462" s="12"/>
    </row>
    <row r="463" customHeight="1" spans="1:4">
      <c r="A463" s="12"/>
      <c r="B463" s="12"/>
      <c r="C463" s="12"/>
      <c r="D463" s="12"/>
    </row>
    <row r="464" customHeight="1" spans="1:4">
      <c r="A464" s="12"/>
      <c r="B464" s="12"/>
      <c r="C464" s="12"/>
      <c r="D464" s="12"/>
    </row>
    <row r="465" customHeight="1" spans="1:4">
      <c r="A465" s="12"/>
      <c r="B465" s="12"/>
      <c r="C465" s="12"/>
      <c r="D465" s="12"/>
    </row>
    <row r="466" customHeight="1" spans="1:4">
      <c r="A466" s="12"/>
      <c r="B466" s="12"/>
      <c r="C466" s="12"/>
      <c r="D466" s="12"/>
    </row>
    <row r="467" customHeight="1" spans="1:4">
      <c r="A467" s="12"/>
      <c r="B467" s="12"/>
      <c r="C467" s="12"/>
      <c r="D467" s="12"/>
    </row>
    <row r="468" customHeight="1" spans="1:4">
      <c r="A468" s="12"/>
      <c r="B468" s="12"/>
      <c r="C468" s="12"/>
      <c r="D468" s="12"/>
    </row>
    <row r="469" customHeight="1" spans="1:4">
      <c r="A469" s="12"/>
      <c r="B469" s="12"/>
      <c r="C469" s="12"/>
      <c r="D469" s="12"/>
    </row>
    <row r="470" customHeight="1" spans="1:4">
      <c r="A470" s="12"/>
      <c r="B470" s="12"/>
      <c r="C470" s="12"/>
      <c r="D470" s="12"/>
    </row>
    <row r="471" customHeight="1" spans="1:4">
      <c r="A471" s="12"/>
      <c r="B471" s="12"/>
      <c r="C471" s="12"/>
      <c r="D471" s="12"/>
    </row>
    <row r="472" customHeight="1" spans="1:4">
      <c r="A472" s="12"/>
      <c r="B472" s="12"/>
      <c r="C472" s="12"/>
      <c r="D472" s="12"/>
    </row>
    <row r="473" customHeight="1" spans="1:4">
      <c r="A473" s="12"/>
      <c r="B473" s="12"/>
      <c r="C473" s="12"/>
      <c r="D473" s="12"/>
    </row>
    <row r="474" customHeight="1" spans="1:4">
      <c r="A474" s="12"/>
      <c r="B474" s="12"/>
      <c r="C474" s="12"/>
      <c r="D474" s="12"/>
    </row>
    <row r="475" customHeight="1" spans="1:4">
      <c r="A475" s="12"/>
      <c r="B475" s="12"/>
      <c r="C475" s="12"/>
      <c r="D475" s="12"/>
    </row>
    <row r="476" customHeight="1" spans="1:4">
      <c r="A476" s="12"/>
      <c r="B476" s="12"/>
      <c r="C476" s="12"/>
      <c r="D476" s="12"/>
    </row>
    <row r="477" customHeight="1" spans="1:4">
      <c r="A477" s="12"/>
      <c r="B477" s="12"/>
      <c r="C477" s="12"/>
      <c r="D477" s="12"/>
    </row>
    <row r="478" customHeight="1" spans="1:4">
      <c r="A478" s="12"/>
      <c r="B478" s="12"/>
      <c r="C478" s="12"/>
      <c r="D478" s="12"/>
    </row>
    <row r="479" customHeight="1" spans="1:4">
      <c r="A479" s="12"/>
      <c r="B479" s="12"/>
      <c r="C479" s="12"/>
      <c r="D479" s="12"/>
    </row>
    <row r="480" customHeight="1" spans="1:4">
      <c r="A480" s="12"/>
      <c r="B480" s="12"/>
      <c r="C480" s="12"/>
      <c r="D480" s="12"/>
    </row>
    <row r="481" customHeight="1" spans="1:4">
      <c r="A481" s="12"/>
      <c r="B481" s="12"/>
      <c r="C481" s="12"/>
      <c r="D481" s="12"/>
    </row>
    <row r="482" customHeight="1" spans="1:4">
      <c r="A482" s="12"/>
      <c r="B482" s="12"/>
      <c r="C482" s="12"/>
      <c r="D482" s="12"/>
    </row>
    <row r="483" customHeight="1" spans="1:4">
      <c r="A483" s="12"/>
      <c r="B483" s="12"/>
      <c r="C483" s="12"/>
      <c r="D483" s="12"/>
    </row>
    <row r="484" customHeight="1" spans="1:4">
      <c r="A484" s="12"/>
      <c r="B484" s="12"/>
      <c r="C484" s="12"/>
      <c r="D484" s="12"/>
    </row>
    <row r="485" customHeight="1" spans="1:4">
      <c r="A485" s="12"/>
      <c r="B485" s="12"/>
      <c r="C485" s="12"/>
      <c r="D485" s="12"/>
    </row>
    <row r="486" customHeight="1" spans="1:4">
      <c r="A486" s="12"/>
      <c r="B486" s="12"/>
      <c r="C486" s="12"/>
      <c r="D486" s="12"/>
    </row>
    <row r="487" customHeight="1" spans="1:4">
      <c r="A487" s="12"/>
      <c r="B487" s="12"/>
      <c r="C487" s="12"/>
      <c r="D487" s="12"/>
    </row>
    <row r="488" customHeight="1" spans="1:4">
      <c r="A488" s="12"/>
      <c r="B488" s="12"/>
      <c r="C488" s="12"/>
      <c r="D488" s="12"/>
    </row>
    <row r="489" customHeight="1" spans="1:4">
      <c r="A489" s="12"/>
      <c r="B489" s="12"/>
      <c r="C489" s="12"/>
      <c r="D489" s="12"/>
    </row>
    <row r="490" customHeight="1" spans="1:4">
      <c r="A490" s="12"/>
      <c r="B490" s="12"/>
      <c r="C490" s="12"/>
      <c r="D490" s="12"/>
    </row>
    <row r="491" customHeight="1" spans="1:4">
      <c r="A491" s="12"/>
      <c r="B491" s="12"/>
      <c r="C491" s="12"/>
      <c r="D491" s="12"/>
    </row>
    <row r="492" customHeight="1" spans="1:4">
      <c r="A492" s="12"/>
      <c r="B492" s="12"/>
      <c r="C492" s="12"/>
      <c r="D492" s="12"/>
    </row>
    <row r="493" customHeight="1" spans="1:4">
      <c r="A493" s="12"/>
      <c r="B493" s="12"/>
      <c r="C493" s="12"/>
      <c r="D493" s="12"/>
    </row>
    <row r="494" customHeight="1" spans="1:4">
      <c r="A494" s="12"/>
      <c r="B494" s="12"/>
      <c r="C494" s="12"/>
      <c r="D494" s="12"/>
    </row>
    <row r="495" customHeight="1" spans="1:4">
      <c r="A495" s="12"/>
      <c r="B495" s="12"/>
      <c r="C495" s="12"/>
      <c r="D495" s="12"/>
    </row>
    <row r="496" customHeight="1" spans="1:4">
      <c r="A496" s="12"/>
      <c r="B496" s="12"/>
      <c r="C496" s="12"/>
      <c r="D496" s="12"/>
    </row>
    <row r="497" customHeight="1" spans="1:4">
      <c r="A497" s="12"/>
      <c r="B497" s="12"/>
      <c r="C497" s="12"/>
      <c r="D497" s="12"/>
    </row>
    <row r="498" customHeight="1" spans="1:4">
      <c r="A498" s="12"/>
      <c r="B498" s="12"/>
      <c r="C498" s="12"/>
      <c r="D498" s="12"/>
    </row>
    <row r="499" customHeight="1" spans="1:4">
      <c r="A499" s="12"/>
      <c r="B499" s="12"/>
      <c r="C499" s="12"/>
      <c r="D499" s="12"/>
    </row>
    <row r="500" customHeight="1" spans="1:4">
      <c r="A500" s="12"/>
      <c r="B500" s="12"/>
      <c r="C500" s="12"/>
      <c r="D500" s="12"/>
    </row>
    <row r="501" customHeight="1" spans="1:4">
      <c r="A501" s="12"/>
      <c r="B501" s="12"/>
      <c r="C501" s="12"/>
      <c r="D501" s="12"/>
    </row>
    <row r="502" customHeight="1" spans="1:4">
      <c r="A502" s="12"/>
      <c r="B502" s="12"/>
      <c r="C502" s="12"/>
      <c r="D502" s="12"/>
    </row>
    <row r="503" customHeight="1" spans="1:4">
      <c r="A503" s="12"/>
      <c r="B503" s="12"/>
      <c r="C503" s="12"/>
      <c r="D503" s="12"/>
    </row>
    <row r="504" customHeight="1" spans="1:4">
      <c r="A504" s="12"/>
      <c r="B504" s="12"/>
      <c r="C504" s="12"/>
      <c r="D504" s="12"/>
    </row>
    <row r="505" customHeight="1" spans="1:4">
      <c r="A505" s="12"/>
      <c r="B505" s="12"/>
      <c r="C505" s="12"/>
      <c r="D505" s="12"/>
    </row>
    <row r="506" customHeight="1" spans="1:4">
      <c r="A506" s="12"/>
      <c r="B506" s="12"/>
      <c r="C506" s="12"/>
      <c r="D506" s="12"/>
    </row>
    <row r="507" customHeight="1" spans="1:4">
      <c r="A507" s="12"/>
      <c r="B507" s="12"/>
      <c r="C507" s="12"/>
      <c r="D507" s="12"/>
    </row>
    <row r="508" customHeight="1" spans="1:4">
      <c r="A508" s="12"/>
      <c r="B508" s="12"/>
      <c r="C508" s="12"/>
      <c r="D508" s="12"/>
    </row>
    <row r="509" customHeight="1" spans="1:4">
      <c r="A509" s="12"/>
      <c r="B509" s="12"/>
      <c r="C509" s="12"/>
      <c r="D509" s="12"/>
    </row>
    <row r="510" customHeight="1" spans="1:4">
      <c r="A510" s="12"/>
      <c r="B510" s="12"/>
      <c r="C510" s="12"/>
      <c r="D510" s="12"/>
    </row>
    <row r="511" customHeight="1" spans="1:4">
      <c r="A511" s="12"/>
      <c r="B511" s="12"/>
      <c r="C511" s="12"/>
      <c r="D511" s="12"/>
    </row>
    <row r="512" customHeight="1" spans="1:4">
      <c r="A512" s="12"/>
      <c r="B512" s="12"/>
      <c r="C512" s="12"/>
      <c r="D512" s="12"/>
    </row>
    <row r="513" customHeight="1" spans="1:4">
      <c r="A513" s="12"/>
      <c r="B513" s="12"/>
      <c r="C513" s="12"/>
      <c r="D513" s="12"/>
    </row>
    <row r="514" customHeight="1" spans="1:4">
      <c r="A514" s="12"/>
      <c r="B514" s="12"/>
      <c r="C514" s="12"/>
      <c r="D514" s="12"/>
    </row>
    <row r="515" customHeight="1" spans="1:4">
      <c r="A515" s="12"/>
      <c r="B515" s="12"/>
      <c r="C515" s="12"/>
      <c r="D515" s="12"/>
    </row>
    <row r="516" customHeight="1" spans="1:4">
      <c r="A516" s="12"/>
      <c r="B516" s="12"/>
      <c r="C516" s="12"/>
      <c r="D516" s="12"/>
    </row>
    <row r="517" customHeight="1" spans="1:4">
      <c r="A517" s="12"/>
      <c r="B517" s="12"/>
      <c r="C517" s="12"/>
      <c r="D517" s="12"/>
    </row>
    <row r="518" customHeight="1" spans="1:4">
      <c r="A518" s="12"/>
      <c r="B518" s="12"/>
      <c r="C518" s="12"/>
      <c r="D518" s="12"/>
    </row>
    <row r="519" customHeight="1" spans="1:4">
      <c r="A519" s="12"/>
      <c r="B519" s="12"/>
      <c r="C519" s="12"/>
      <c r="D519" s="12"/>
    </row>
    <row r="520" customHeight="1" spans="1:4">
      <c r="A520" s="12"/>
      <c r="B520" s="12"/>
      <c r="C520" s="12"/>
      <c r="D520" s="12"/>
    </row>
    <row r="521" customHeight="1" spans="1:4">
      <c r="A521" s="12"/>
      <c r="B521" s="12"/>
      <c r="C521" s="12"/>
      <c r="D521" s="12"/>
    </row>
    <row r="522" customHeight="1" spans="1:4">
      <c r="A522" s="12"/>
      <c r="B522" s="12"/>
      <c r="C522" s="12"/>
      <c r="D522" s="12"/>
    </row>
    <row r="523" customHeight="1" spans="1:4">
      <c r="A523" s="12"/>
      <c r="B523" s="12"/>
      <c r="C523" s="12"/>
      <c r="D523" s="12"/>
    </row>
    <row r="524" customHeight="1" spans="1:4">
      <c r="A524" s="12"/>
      <c r="B524" s="12"/>
      <c r="C524" s="12"/>
      <c r="D524" s="12"/>
    </row>
    <row r="525" customHeight="1" spans="1:4">
      <c r="A525" s="12"/>
      <c r="B525" s="12"/>
      <c r="C525" s="12"/>
      <c r="D525" s="12"/>
    </row>
    <row r="526" customHeight="1" spans="1:4">
      <c r="A526" s="12"/>
      <c r="B526" s="12"/>
      <c r="C526" s="12"/>
      <c r="D526" s="12"/>
    </row>
    <row r="527" customHeight="1" spans="1:4">
      <c r="A527" s="12"/>
      <c r="B527" s="12"/>
      <c r="C527" s="12"/>
      <c r="D527" s="12"/>
    </row>
    <row r="528" customHeight="1" spans="1:4">
      <c r="A528" s="12"/>
      <c r="B528" s="12"/>
      <c r="C528" s="12"/>
      <c r="D528" s="12"/>
    </row>
    <row r="529" customHeight="1" spans="1:4">
      <c r="A529" s="12"/>
      <c r="B529" s="12"/>
      <c r="C529" s="12"/>
      <c r="D529" s="12"/>
    </row>
    <row r="530" customHeight="1" spans="1:4">
      <c r="A530" s="12"/>
      <c r="B530" s="12"/>
      <c r="C530" s="12"/>
      <c r="D530" s="12"/>
    </row>
    <row r="531" customHeight="1" spans="1:4">
      <c r="A531" s="12"/>
      <c r="B531" s="12"/>
      <c r="C531" s="12"/>
      <c r="D531" s="12"/>
    </row>
    <row r="532" customHeight="1" spans="1:4">
      <c r="A532" s="12"/>
      <c r="B532" s="12"/>
      <c r="C532" s="12"/>
      <c r="D532" s="12"/>
    </row>
    <row r="533" customHeight="1" spans="1:4">
      <c r="A533" s="12"/>
      <c r="B533" s="12"/>
      <c r="C533" s="12"/>
      <c r="D533" s="12"/>
    </row>
    <row r="534" customHeight="1" spans="1:4">
      <c r="A534" s="12"/>
      <c r="B534" s="12"/>
      <c r="C534" s="12"/>
      <c r="D534" s="12"/>
    </row>
    <row r="535" customHeight="1" spans="1:4">
      <c r="A535" s="12"/>
      <c r="B535" s="12"/>
      <c r="C535" s="12"/>
      <c r="D535" s="12"/>
    </row>
    <row r="536" customHeight="1" spans="1:4">
      <c r="A536" s="12"/>
      <c r="B536" s="12"/>
      <c r="C536" s="12"/>
      <c r="D536" s="12"/>
    </row>
    <row r="537" customHeight="1" spans="1:4">
      <c r="A537" s="12"/>
      <c r="B537" s="12"/>
      <c r="C537" s="12"/>
      <c r="D537" s="12"/>
    </row>
    <row r="538" customHeight="1" spans="1:4">
      <c r="A538" s="12"/>
      <c r="B538" s="12"/>
      <c r="C538" s="12"/>
      <c r="D538" s="12"/>
    </row>
    <row r="539" customHeight="1" spans="1:4">
      <c r="A539" s="12"/>
      <c r="B539" s="12"/>
      <c r="C539" s="12"/>
      <c r="D539" s="12"/>
    </row>
    <row r="540" customHeight="1" spans="1:4">
      <c r="A540" s="12"/>
      <c r="B540" s="12"/>
      <c r="C540" s="12"/>
      <c r="D540" s="12"/>
    </row>
    <row r="541" customHeight="1" spans="1:4">
      <c r="A541" s="12"/>
      <c r="B541" s="12"/>
      <c r="C541" s="12"/>
      <c r="D541" s="12"/>
    </row>
    <row r="542" customHeight="1" spans="1:4">
      <c r="A542" s="12"/>
      <c r="B542" s="12"/>
      <c r="C542" s="12"/>
      <c r="D542" s="12"/>
    </row>
    <row r="543" customHeight="1" spans="1:4">
      <c r="A543" s="12"/>
      <c r="B543" s="12"/>
      <c r="C543" s="12"/>
      <c r="D543" s="12"/>
    </row>
    <row r="544" customHeight="1" spans="1:4">
      <c r="A544" s="12"/>
      <c r="B544" s="12"/>
      <c r="C544" s="12"/>
      <c r="D544" s="12"/>
    </row>
    <row r="545" customHeight="1" spans="1:4">
      <c r="A545" s="12"/>
      <c r="B545" s="12"/>
      <c r="C545" s="12"/>
      <c r="D545" s="12"/>
    </row>
    <row r="546" customHeight="1" spans="1:4">
      <c r="A546" s="12"/>
      <c r="B546" s="12"/>
      <c r="C546" s="12"/>
      <c r="D546" s="12"/>
    </row>
    <row r="547" customHeight="1" spans="1:4">
      <c r="A547" s="12"/>
      <c r="B547" s="12"/>
      <c r="C547" s="12"/>
      <c r="D547" s="12"/>
    </row>
    <row r="548" customHeight="1" spans="1:4">
      <c r="A548" s="12"/>
      <c r="B548" s="12"/>
      <c r="C548" s="12"/>
      <c r="D548" s="12"/>
    </row>
    <row r="549" customHeight="1" spans="1:4">
      <c r="A549" s="12"/>
      <c r="B549" s="12"/>
      <c r="C549" s="12"/>
      <c r="D549" s="12"/>
    </row>
    <row r="550" customHeight="1" spans="1:4">
      <c r="A550" s="12"/>
      <c r="B550" s="12"/>
      <c r="C550" s="12"/>
      <c r="D550" s="12"/>
    </row>
    <row r="551" customHeight="1" spans="1:4">
      <c r="A551" s="12"/>
      <c r="B551" s="12"/>
      <c r="C551" s="12"/>
      <c r="D551" s="12"/>
    </row>
    <row r="552" customHeight="1" spans="1:4">
      <c r="A552" s="12"/>
      <c r="B552" s="12"/>
      <c r="C552" s="12"/>
      <c r="D552" s="12"/>
    </row>
    <row r="553" customHeight="1" spans="1:4">
      <c r="A553" s="12"/>
      <c r="B553" s="12"/>
      <c r="C553" s="12"/>
      <c r="D553" s="12"/>
    </row>
    <row r="554" customHeight="1" spans="1:4">
      <c r="A554" s="12"/>
      <c r="B554" s="12"/>
      <c r="C554" s="12"/>
      <c r="D554" s="12"/>
    </row>
    <row r="555" customHeight="1" spans="1:4">
      <c r="A555" s="12"/>
      <c r="B555" s="12"/>
      <c r="C555" s="12"/>
      <c r="D555" s="12"/>
    </row>
    <row r="556" customHeight="1" spans="1:4">
      <c r="A556" s="12"/>
      <c r="B556" s="12"/>
      <c r="C556" s="12"/>
      <c r="D556" s="12"/>
    </row>
    <row r="557" customHeight="1" spans="1:4">
      <c r="A557" s="12"/>
      <c r="B557" s="12"/>
      <c r="C557" s="12"/>
      <c r="D557" s="12"/>
    </row>
    <row r="558" customHeight="1" spans="1:4">
      <c r="A558" s="12"/>
      <c r="B558" s="12"/>
      <c r="C558" s="12"/>
      <c r="D558" s="12"/>
    </row>
    <row r="559" customHeight="1" spans="1:4">
      <c r="A559" s="12"/>
      <c r="B559" s="12"/>
      <c r="C559" s="12"/>
      <c r="D559" s="12"/>
    </row>
    <row r="560" customHeight="1" spans="1:4">
      <c r="A560" s="12"/>
      <c r="B560" s="12"/>
      <c r="C560" s="12"/>
      <c r="D560" s="12"/>
    </row>
    <row r="561" customHeight="1" spans="1:4">
      <c r="A561" s="12"/>
      <c r="B561" s="12"/>
      <c r="C561" s="12"/>
      <c r="D561" s="12"/>
    </row>
    <row r="562" customHeight="1" spans="1:4">
      <c r="A562" s="12"/>
      <c r="B562" s="12"/>
      <c r="C562" s="12"/>
      <c r="D562" s="12"/>
    </row>
    <row r="563" customHeight="1" spans="1:4">
      <c r="A563" s="12"/>
      <c r="B563" s="12"/>
      <c r="C563" s="12"/>
      <c r="D563" s="12"/>
    </row>
    <row r="564" customHeight="1" spans="1:4">
      <c r="A564" s="12"/>
      <c r="B564" s="12"/>
      <c r="C564" s="12"/>
      <c r="D564" s="12"/>
    </row>
    <row r="565" customHeight="1" spans="1:4">
      <c r="A565" s="12"/>
      <c r="B565" s="12"/>
      <c r="C565" s="12"/>
      <c r="D565" s="12"/>
    </row>
    <row r="566" customHeight="1" spans="1:4">
      <c r="A566" s="12"/>
      <c r="B566" s="12"/>
      <c r="C566" s="12"/>
      <c r="D566" s="12"/>
    </row>
    <row r="567" customHeight="1" spans="1:4">
      <c r="A567" s="12"/>
      <c r="B567" s="12"/>
      <c r="C567" s="12"/>
      <c r="D567" s="12"/>
    </row>
    <row r="568" customHeight="1" spans="1:4">
      <c r="A568" s="12"/>
      <c r="B568" s="12"/>
      <c r="C568" s="12"/>
      <c r="D568" s="12"/>
    </row>
    <row r="569" customHeight="1" spans="1:4">
      <c r="A569" s="12"/>
      <c r="B569" s="12"/>
      <c r="C569" s="12"/>
      <c r="D569" s="12"/>
    </row>
    <row r="570" customHeight="1" spans="1:4">
      <c r="A570" s="12"/>
      <c r="B570" s="12"/>
      <c r="C570" s="12"/>
      <c r="D570" s="12"/>
    </row>
    <row r="571" customHeight="1" spans="1:4">
      <c r="A571" s="12"/>
      <c r="B571" s="12"/>
      <c r="C571" s="12"/>
      <c r="D571" s="12"/>
    </row>
    <row r="572" customHeight="1" spans="1:4">
      <c r="A572" s="12"/>
      <c r="B572" s="12"/>
      <c r="C572" s="12"/>
      <c r="D572" s="12"/>
    </row>
    <row r="573" customHeight="1" spans="1:4">
      <c r="A573" s="12"/>
      <c r="B573" s="12"/>
      <c r="C573" s="12"/>
      <c r="D573" s="12"/>
    </row>
    <row r="574" customHeight="1" spans="1:4">
      <c r="A574" s="12"/>
      <c r="B574" s="12"/>
      <c r="C574" s="12"/>
      <c r="D574" s="12"/>
    </row>
    <row r="575" customHeight="1" spans="1:4">
      <c r="A575" s="12"/>
      <c r="B575" s="12"/>
      <c r="C575" s="12"/>
      <c r="D575" s="12"/>
    </row>
    <row r="576" customHeight="1" spans="1:4">
      <c r="A576" s="12"/>
      <c r="B576" s="12"/>
      <c r="C576" s="12"/>
      <c r="D576" s="12"/>
    </row>
    <row r="577" customHeight="1" spans="1:4">
      <c r="A577" s="12"/>
      <c r="B577" s="12"/>
      <c r="C577" s="12"/>
      <c r="D577" s="12"/>
    </row>
    <row r="578" customHeight="1" spans="1:4">
      <c r="A578" s="12"/>
      <c r="B578" s="12"/>
      <c r="C578" s="12"/>
      <c r="D578" s="12"/>
    </row>
    <row r="579" customHeight="1" spans="1:4">
      <c r="A579" s="12"/>
      <c r="B579" s="12"/>
      <c r="C579" s="12"/>
      <c r="D579" s="12"/>
    </row>
    <row r="580" customHeight="1" spans="1:4">
      <c r="A580" s="12"/>
      <c r="B580" s="12"/>
      <c r="C580" s="12"/>
      <c r="D580" s="12"/>
    </row>
    <row r="581" customHeight="1" spans="1:4">
      <c r="A581" s="12"/>
      <c r="B581" s="12"/>
      <c r="C581" s="12"/>
      <c r="D581" s="12"/>
    </row>
    <row r="582" customHeight="1" spans="1:4">
      <c r="A582" s="12"/>
      <c r="B582" s="12"/>
      <c r="C582" s="12"/>
      <c r="D582" s="12"/>
    </row>
    <row r="583" customHeight="1" spans="1:4">
      <c r="A583" s="12"/>
      <c r="B583" s="12"/>
      <c r="C583" s="12"/>
      <c r="D583" s="12"/>
    </row>
    <row r="584" customHeight="1" spans="1:4">
      <c r="A584" s="12"/>
      <c r="B584" s="12"/>
      <c r="C584" s="12"/>
      <c r="D584" s="12"/>
    </row>
    <row r="585" customHeight="1" spans="1:4">
      <c r="A585" s="12"/>
      <c r="B585" s="12"/>
      <c r="C585" s="12"/>
      <c r="D585" s="12"/>
    </row>
    <row r="586" customHeight="1" spans="1:4">
      <c r="A586" s="12"/>
      <c r="B586" s="12"/>
      <c r="C586" s="12"/>
      <c r="D586" s="12"/>
    </row>
    <row r="587" customHeight="1" spans="1:4">
      <c r="A587" s="12"/>
      <c r="B587" s="12"/>
      <c r="C587" s="12"/>
      <c r="D587" s="12"/>
    </row>
    <row r="588" customHeight="1" spans="1:4">
      <c r="A588" s="12"/>
      <c r="B588" s="12"/>
      <c r="C588" s="12"/>
      <c r="D588" s="12"/>
    </row>
    <row r="589" customHeight="1" spans="1:4">
      <c r="A589" s="12"/>
      <c r="B589" s="12"/>
      <c r="C589" s="12"/>
      <c r="D589" s="12"/>
    </row>
    <row r="590" customHeight="1" spans="1:4">
      <c r="A590" s="12"/>
      <c r="B590" s="12"/>
      <c r="C590" s="12"/>
      <c r="D590" s="12"/>
    </row>
    <row r="591" customHeight="1" spans="1:4">
      <c r="A591" s="12"/>
      <c r="B591" s="12"/>
      <c r="C591" s="12"/>
      <c r="D591" s="12"/>
    </row>
    <row r="592" customHeight="1" spans="1:4">
      <c r="A592" s="12"/>
      <c r="B592" s="12"/>
      <c r="C592" s="12"/>
      <c r="D592" s="12"/>
    </row>
    <row r="593" customHeight="1" spans="1:4">
      <c r="A593" s="12"/>
      <c r="B593" s="12"/>
      <c r="C593" s="12"/>
      <c r="D593" s="12"/>
    </row>
    <row r="594" customHeight="1" spans="1:4">
      <c r="A594" s="12"/>
      <c r="B594" s="12"/>
      <c r="C594" s="12"/>
      <c r="D594" s="12"/>
    </row>
    <row r="595" customHeight="1" spans="1:4">
      <c r="A595" s="12"/>
      <c r="B595" s="12"/>
      <c r="C595" s="12"/>
      <c r="D595" s="12"/>
    </row>
    <row r="596" customHeight="1" spans="1:4">
      <c r="A596" s="12"/>
      <c r="B596" s="12"/>
      <c r="C596" s="12"/>
      <c r="D596" s="12"/>
    </row>
    <row r="597" customHeight="1" spans="1:4">
      <c r="A597" s="12"/>
      <c r="B597" s="12"/>
      <c r="C597" s="12"/>
      <c r="D597" s="12"/>
    </row>
    <row r="598" customHeight="1" spans="1:4">
      <c r="A598" s="12"/>
      <c r="B598" s="12"/>
      <c r="C598" s="12"/>
      <c r="D598" s="12"/>
    </row>
    <row r="599" customHeight="1" spans="1:4">
      <c r="A599" s="12"/>
      <c r="B599" s="12"/>
      <c r="C599" s="12"/>
      <c r="D599" s="12"/>
    </row>
    <row r="600" customHeight="1" spans="1:4">
      <c r="A600" s="12"/>
      <c r="B600" s="12"/>
      <c r="C600" s="12"/>
      <c r="D600" s="12"/>
    </row>
    <row r="601" customHeight="1" spans="1:4">
      <c r="A601" s="12"/>
      <c r="B601" s="12"/>
      <c r="C601" s="12"/>
      <c r="D601" s="12"/>
    </row>
    <row r="602" customHeight="1" spans="1:4">
      <c r="A602" s="12"/>
      <c r="B602" s="12"/>
      <c r="C602" s="12"/>
      <c r="D602" s="12"/>
    </row>
    <row r="603" customHeight="1" spans="1:4">
      <c r="A603" s="12"/>
      <c r="B603" s="12"/>
      <c r="C603" s="12"/>
      <c r="D603" s="12"/>
    </row>
    <row r="604" customHeight="1" spans="1:4">
      <c r="A604" s="12"/>
      <c r="B604" s="12"/>
      <c r="C604" s="12"/>
      <c r="D604" s="12"/>
    </row>
    <row r="605" customHeight="1" spans="1:4">
      <c r="A605" s="12"/>
      <c r="B605" s="12"/>
      <c r="C605" s="12"/>
      <c r="D605" s="12"/>
    </row>
    <row r="606" customHeight="1" spans="1:4">
      <c r="A606" s="12"/>
      <c r="B606" s="12"/>
      <c r="C606" s="12"/>
      <c r="D606" s="12"/>
    </row>
    <row r="607" customHeight="1" spans="1:4">
      <c r="A607" s="12"/>
      <c r="B607" s="12"/>
      <c r="C607" s="12"/>
      <c r="D607" s="12"/>
    </row>
    <row r="608" customHeight="1" spans="1:4">
      <c r="A608" s="12"/>
      <c r="B608" s="12"/>
      <c r="C608" s="12"/>
      <c r="D608" s="12"/>
    </row>
    <row r="609" customHeight="1" spans="1:4">
      <c r="A609" s="12"/>
      <c r="B609" s="12"/>
      <c r="C609" s="12"/>
      <c r="D609" s="12"/>
    </row>
    <row r="610" customHeight="1" spans="1:4">
      <c r="A610" s="12"/>
      <c r="B610" s="12"/>
      <c r="C610" s="12"/>
      <c r="D610" s="12"/>
    </row>
    <row r="611" customHeight="1" spans="1:4">
      <c r="A611" s="12"/>
      <c r="B611" s="12"/>
      <c r="C611" s="12"/>
      <c r="D611" s="12"/>
    </row>
    <row r="612" customHeight="1" spans="1:4">
      <c r="A612" s="12"/>
      <c r="B612" s="12"/>
      <c r="C612" s="12"/>
      <c r="D612" s="12"/>
    </row>
    <row r="613" customHeight="1" spans="1:4">
      <c r="A613" s="12"/>
      <c r="B613" s="12"/>
      <c r="C613" s="12"/>
      <c r="D613" s="12"/>
    </row>
    <row r="614" customHeight="1" spans="1:4">
      <c r="A614" s="12"/>
      <c r="B614" s="12"/>
      <c r="C614" s="12"/>
      <c r="D614" s="12"/>
    </row>
    <row r="615" customHeight="1" spans="1:4">
      <c r="A615" s="12"/>
      <c r="B615" s="12"/>
      <c r="C615" s="12"/>
      <c r="D615" s="12"/>
    </row>
    <row r="616" customHeight="1" spans="1:4">
      <c r="A616" s="12"/>
      <c r="B616" s="12"/>
      <c r="C616" s="12"/>
      <c r="D616" s="12"/>
    </row>
    <row r="617" customHeight="1" spans="1:4">
      <c r="A617" s="12"/>
      <c r="B617" s="12"/>
      <c r="C617" s="12"/>
      <c r="D617" s="12"/>
    </row>
    <row r="618" customHeight="1" spans="1:4">
      <c r="A618" s="12"/>
      <c r="B618" s="12"/>
      <c r="C618" s="12"/>
      <c r="D618" s="12"/>
    </row>
    <row r="619" customHeight="1" spans="1:4">
      <c r="A619" s="12"/>
      <c r="B619" s="12"/>
      <c r="C619" s="12"/>
      <c r="D619" s="12"/>
    </row>
    <row r="620" customHeight="1" spans="1:4">
      <c r="A620" s="12"/>
      <c r="B620" s="12"/>
      <c r="C620" s="12"/>
      <c r="D620" s="12"/>
    </row>
    <row r="621" customHeight="1" spans="1:4">
      <c r="A621" s="12"/>
      <c r="B621" s="12"/>
      <c r="C621" s="12"/>
      <c r="D621" s="12"/>
    </row>
    <row r="622" customHeight="1" spans="1:4">
      <c r="A622" s="12"/>
      <c r="B622" s="12"/>
      <c r="C622" s="12"/>
      <c r="D622" s="12"/>
    </row>
    <row r="623" customHeight="1" spans="1:4">
      <c r="A623" s="12"/>
      <c r="B623" s="12"/>
      <c r="C623" s="12"/>
      <c r="D623" s="12"/>
    </row>
    <row r="624" customHeight="1" spans="1:4">
      <c r="A624" s="12"/>
      <c r="B624" s="12"/>
      <c r="C624" s="12"/>
      <c r="D624" s="12"/>
    </row>
    <row r="625" customHeight="1" spans="1:4">
      <c r="A625" s="12"/>
      <c r="B625" s="12"/>
      <c r="C625" s="12"/>
      <c r="D625" s="12"/>
    </row>
    <row r="626" customHeight="1" spans="1:4">
      <c r="A626" s="12"/>
      <c r="B626" s="12"/>
      <c r="C626" s="12"/>
      <c r="D626" s="12"/>
    </row>
    <row r="627" customHeight="1" spans="1:4">
      <c r="A627" s="12"/>
      <c r="B627" s="12"/>
      <c r="C627" s="12"/>
      <c r="D627" s="12"/>
    </row>
    <row r="628" customHeight="1" spans="1:4">
      <c r="A628" s="12"/>
      <c r="B628" s="12"/>
      <c r="C628" s="12"/>
      <c r="D628" s="12"/>
    </row>
    <row r="629" customHeight="1" spans="1:4">
      <c r="A629" s="12"/>
      <c r="B629" s="12"/>
      <c r="C629" s="12"/>
      <c r="D629" s="12"/>
    </row>
    <row r="630" customHeight="1" spans="1:4">
      <c r="A630" s="12"/>
      <c r="B630" s="12"/>
      <c r="C630" s="12"/>
      <c r="D630" s="12"/>
    </row>
    <row r="631" customHeight="1" spans="1:4">
      <c r="A631" s="12"/>
      <c r="B631" s="12"/>
      <c r="C631" s="12"/>
      <c r="D631" s="12"/>
    </row>
    <row r="632" customHeight="1" spans="1:4">
      <c r="A632" s="12"/>
      <c r="B632" s="12"/>
      <c r="C632" s="12"/>
      <c r="D632" s="12"/>
    </row>
    <row r="633" customHeight="1" spans="1:4">
      <c r="A633" s="12"/>
      <c r="B633" s="12"/>
      <c r="C633" s="12"/>
      <c r="D633" s="12"/>
    </row>
    <row r="634" customHeight="1" spans="1:4">
      <c r="A634" s="12"/>
      <c r="B634" s="12"/>
      <c r="C634" s="12"/>
      <c r="D634" s="12"/>
    </row>
    <row r="635" customHeight="1" spans="1:4">
      <c r="A635" s="12"/>
      <c r="B635" s="12"/>
      <c r="C635" s="12"/>
      <c r="D635" s="12"/>
    </row>
    <row r="636" customHeight="1" spans="1:4">
      <c r="A636" s="12"/>
      <c r="B636" s="12"/>
      <c r="C636" s="12"/>
      <c r="D636" s="12"/>
    </row>
    <row r="637" customHeight="1" spans="1:4">
      <c r="A637" s="12"/>
      <c r="B637" s="12"/>
      <c r="C637" s="12"/>
      <c r="D637" s="12"/>
    </row>
    <row r="638" customHeight="1" spans="1:4">
      <c r="A638" s="12"/>
      <c r="B638" s="12"/>
      <c r="C638" s="12"/>
      <c r="D638" s="12"/>
    </row>
    <row r="639" customHeight="1" spans="1:4">
      <c r="A639" s="12"/>
      <c r="B639" s="12"/>
      <c r="C639" s="12"/>
      <c r="D639" s="12"/>
    </row>
    <row r="640" customHeight="1" spans="1:4">
      <c r="A640" s="12"/>
      <c r="B640" s="12"/>
      <c r="C640" s="12"/>
      <c r="D640" s="12"/>
    </row>
    <row r="641" customHeight="1" spans="1:4">
      <c r="A641" s="12"/>
      <c r="B641" s="12"/>
      <c r="C641" s="12"/>
      <c r="D641" s="12"/>
    </row>
    <row r="642" customHeight="1" spans="1:4">
      <c r="A642" s="12"/>
      <c r="B642" s="12"/>
      <c r="C642" s="12"/>
      <c r="D642" s="12"/>
    </row>
    <row r="643" customHeight="1" spans="1:4">
      <c r="A643" s="12"/>
      <c r="B643" s="12"/>
      <c r="C643" s="12"/>
      <c r="D643" s="12"/>
    </row>
    <row r="644" customHeight="1" spans="1:4">
      <c r="A644" s="12"/>
      <c r="B644" s="12"/>
      <c r="C644" s="12"/>
      <c r="D644" s="12"/>
    </row>
    <row r="645" customHeight="1" spans="1:4">
      <c r="A645" s="12"/>
      <c r="B645" s="12"/>
      <c r="C645" s="12"/>
      <c r="D645" s="12"/>
    </row>
    <row r="646" customHeight="1" spans="1:4">
      <c r="A646" s="12"/>
      <c r="B646" s="12"/>
      <c r="C646" s="12"/>
      <c r="D646" s="12"/>
    </row>
    <row r="647" customHeight="1" spans="1:4">
      <c r="A647" s="12"/>
      <c r="B647" s="12"/>
      <c r="C647" s="12"/>
      <c r="D647" s="12"/>
    </row>
    <row r="648" customHeight="1" spans="1:4">
      <c r="A648" s="12"/>
      <c r="B648" s="12"/>
      <c r="C648" s="12"/>
      <c r="D648" s="12"/>
    </row>
    <row r="649" customHeight="1" spans="1:4">
      <c r="A649" s="12"/>
      <c r="B649" s="12"/>
      <c r="C649" s="12"/>
      <c r="D649" s="12"/>
    </row>
    <row r="650" customHeight="1" spans="1:4">
      <c r="A650" s="12"/>
      <c r="B650" s="12"/>
      <c r="C650" s="12"/>
      <c r="D650" s="12"/>
    </row>
    <row r="651" customHeight="1" spans="1:4">
      <c r="A651" s="12"/>
      <c r="B651" s="12"/>
      <c r="C651" s="12"/>
      <c r="D651" s="12"/>
    </row>
    <row r="652" customHeight="1" spans="1:4">
      <c r="A652" s="12"/>
      <c r="B652" s="12"/>
      <c r="C652" s="12"/>
      <c r="D652" s="12"/>
    </row>
    <row r="653" customHeight="1" spans="1:4">
      <c r="A653" s="12"/>
      <c r="B653" s="12"/>
      <c r="C653" s="12"/>
      <c r="D653" s="12"/>
    </row>
    <row r="654" customHeight="1" spans="1:4">
      <c r="A654" s="12"/>
      <c r="B654" s="12"/>
      <c r="C654" s="12"/>
      <c r="D654" s="12"/>
    </row>
    <row r="655" customHeight="1" spans="1:4">
      <c r="A655" s="12"/>
      <c r="B655" s="12"/>
      <c r="C655" s="12"/>
      <c r="D655" s="12"/>
    </row>
    <row r="656" customHeight="1" spans="1:4">
      <c r="A656" s="12"/>
      <c r="B656" s="12"/>
      <c r="C656" s="12"/>
      <c r="D656" s="12"/>
    </row>
    <row r="657" customHeight="1" spans="1:4">
      <c r="A657" s="12"/>
      <c r="B657" s="12"/>
      <c r="C657" s="12"/>
      <c r="D657" s="12"/>
    </row>
    <row r="658" customHeight="1" spans="1:4">
      <c r="A658" s="12"/>
      <c r="B658" s="12"/>
      <c r="C658" s="12"/>
      <c r="D658" s="12"/>
    </row>
    <row r="659" customHeight="1" spans="1:4">
      <c r="A659" s="12"/>
      <c r="B659" s="12"/>
      <c r="C659" s="12"/>
      <c r="D659" s="12"/>
    </row>
    <row r="660" customHeight="1" spans="1:4">
      <c r="A660" s="12"/>
      <c r="B660" s="12"/>
      <c r="C660" s="12"/>
      <c r="D660" s="12"/>
    </row>
    <row r="661" customHeight="1" spans="1:4">
      <c r="A661" s="12"/>
      <c r="B661" s="12"/>
      <c r="C661" s="12"/>
      <c r="D661" s="12"/>
    </row>
    <row r="662" customHeight="1" spans="1:4">
      <c r="A662" s="12"/>
      <c r="B662" s="12"/>
      <c r="C662" s="12"/>
      <c r="D662" s="12"/>
    </row>
    <row r="663" customHeight="1" spans="1:4">
      <c r="A663" s="12"/>
      <c r="B663" s="12"/>
      <c r="C663" s="12"/>
      <c r="D663" s="12"/>
    </row>
    <row r="664" customHeight="1" spans="1:4">
      <c r="A664" s="12"/>
      <c r="B664" s="12"/>
      <c r="C664" s="12"/>
      <c r="D664" s="12"/>
    </row>
    <row r="665" customHeight="1" spans="1:4">
      <c r="A665" s="12"/>
      <c r="B665" s="12"/>
      <c r="C665" s="12"/>
      <c r="D665" s="12"/>
    </row>
    <row r="666" customHeight="1" spans="1:4">
      <c r="A666" s="12"/>
      <c r="B666" s="12"/>
      <c r="C666" s="12"/>
      <c r="D666" s="12"/>
    </row>
    <row r="667" customHeight="1" spans="1:4">
      <c r="A667" s="12"/>
      <c r="B667" s="12"/>
      <c r="C667" s="12"/>
      <c r="D667" s="12"/>
    </row>
    <row r="668" customHeight="1" spans="1:4">
      <c r="A668" s="12"/>
      <c r="B668" s="12"/>
      <c r="C668" s="12"/>
      <c r="D668" s="12"/>
    </row>
    <row r="669" customHeight="1" spans="1:4">
      <c r="A669" s="12"/>
      <c r="B669" s="12"/>
      <c r="C669" s="12"/>
      <c r="D669" s="12"/>
    </row>
    <row r="670" customHeight="1" spans="1:4">
      <c r="A670" s="12"/>
      <c r="B670" s="12"/>
      <c r="C670" s="12"/>
      <c r="D670" s="12"/>
    </row>
    <row r="671" customHeight="1" spans="1:4">
      <c r="A671" s="12"/>
      <c r="B671" s="12"/>
      <c r="C671" s="12"/>
      <c r="D671" s="12"/>
    </row>
    <row r="672" customHeight="1" spans="1:4">
      <c r="A672" s="12"/>
      <c r="B672" s="12"/>
      <c r="C672" s="12"/>
      <c r="D672" s="12"/>
    </row>
    <row r="673" customHeight="1" spans="1:4">
      <c r="A673" s="12"/>
      <c r="B673" s="12"/>
      <c r="C673" s="12"/>
      <c r="D673" s="12"/>
    </row>
    <row r="674" customHeight="1" spans="1:4">
      <c r="A674" s="12"/>
      <c r="B674" s="12"/>
      <c r="C674" s="12"/>
      <c r="D674" s="12"/>
    </row>
    <row r="675" customHeight="1" spans="1:4">
      <c r="A675" s="12"/>
      <c r="B675" s="12"/>
      <c r="C675" s="12"/>
      <c r="D675" s="12"/>
    </row>
    <row r="676" customHeight="1" spans="1:4">
      <c r="A676" s="12"/>
      <c r="B676" s="12"/>
      <c r="C676" s="12"/>
      <c r="D676" s="12"/>
    </row>
    <row r="677" customHeight="1" spans="1:4">
      <c r="A677" s="12"/>
      <c r="B677" s="12"/>
      <c r="C677" s="12"/>
      <c r="D677" s="12"/>
    </row>
    <row r="678" customHeight="1" spans="1:4">
      <c r="A678" s="12"/>
      <c r="B678" s="12"/>
      <c r="C678" s="12"/>
      <c r="D678" s="12"/>
    </row>
    <row r="679" customHeight="1" spans="1:4">
      <c r="A679" s="12"/>
      <c r="B679" s="12"/>
      <c r="C679" s="12"/>
      <c r="D679" s="12"/>
    </row>
    <row r="680" customHeight="1" spans="1:4">
      <c r="A680" s="12"/>
      <c r="B680" s="12"/>
      <c r="C680" s="12"/>
      <c r="D680" s="12"/>
    </row>
    <row r="681" customHeight="1" spans="1:4">
      <c r="A681" s="12"/>
      <c r="B681" s="12"/>
      <c r="C681" s="12"/>
      <c r="D681" s="12"/>
    </row>
    <row r="682" customHeight="1" spans="1:4">
      <c r="A682" s="12"/>
      <c r="B682" s="12"/>
      <c r="C682" s="12"/>
      <c r="D682" s="12"/>
    </row>
    <row r="683" customHeight="1" spans="1:4">
      <c r="A683" s="12"/>
      <c r="B683" s="12"/>
      <c r="C683" s="12"/>
      <c r="D683" s="12"/>
    </row>
    <row r="684" customHeight="1" spans="1:4">
      <c r="A684" s="12"/>
      <c r="B684" s="12"/>
      <c r="C684" s="12"/>
      <c r="D684" s="12"/>
    </row>
    <row r="685" customHeight="1" spans="1:4">
      <c r="A685" s="12"/>
      <c r="B685" s="12"/>
      <c r="C685" s="12"/>
      <c r="D685" s="12"/>
    </row>
    <row r="686" customHeight="1" spans="1:4">
      <c r="A686" s="12"/>
      <c r="B686" s="12"/>
      <c r="C686" s="12"/>
      <c r="D686" s="12"/>
    </row>
    <row r="687" customHeight="1" spans="1:4">
      <c r="A687" s="12"/>
      <c r="B687" s="12"/>
      <c r="C687" s="12"/>
      <c r="D687" s="12"/>
    </row>
    <row r="688" customHeight="1" spans="1:4">
      <c r="A688" s="12"/>
      <c r="B688" s="12"/>
      <c r="C688" s="12"/>
      <c r="D688" s="12"/>
    </row>
    <row r="689" customHeight="1" spans="1:4">
      <c r="A689" s="12"/>
      <c r="B689" s="12"/>
      <c r="C689" s="12"/>
      <c r="D689" s="12"/>
    </row>
    <row r="690" customHeight="1" spans="1:4">
      <c r="A690" s="12"/>
      <c r="B690" s="12"/>
      <c r="C690" s="12"/>
      <c r="D690" s="12"/>
    </row>
    <row r="691" customHeight="1" spans="1:4">
      <c r="A691" s="12"/>
      <c r="B691" s="12"/>
      <c r="C691" s="12"/>
      <c r="D691" s="12"/>
    </row>
    <row r="692" customHeight="1" spans="1:4">
      <c r="A692" s="12"/>
      <c r="B692" s="12"/>
      <c r="C692" s="12"/>
      <c r="D692" s="12"/>
    </row>
    <row r="693" customHeight="1" spans="1:4">
      <c r="A693" s="12"/>
      <c r="B693" s="12"/>
      <c r="C693" s="12"/>
      <c r="D693" s="12"/>
    </row>
    <row r="694" customHeight="1" spans="1:4">
      <c r="A694" s="12"/>
      <c r="B694" s="12"/>
      <c r="C694" s="12"/>
      <c r="D694" s="12"/>
    </row>
    <row r="695" customHeight="1" spans="1:4">
      <c r="A695" s="12"/>
      <c r="B695" s="12"/>
      <c r="C695" s="12"/>
      <c r="D695" s="12"/>
    </row>
    <row r="696" customHeight="1" spans="1:4">
      <c r="A696" s="12"/>
      <c r="B696" s="12"/>
      <c r="C696" s="12"/>
      <c r="D696" s="12"/>
    </row>
    <row r="697" customHeight="1" spans="1:4">
      <c r="A697" s="12"/>
      <c r="B697" s="12"/>
      <c r="C697" s="12"/>
      <c r="D697" s="12"/>
    </row>
    <row r="698" customHeight="1" spans="1:4">
      <c r="A698" s="12"/>
      <c r="B698" s="12"/>
      <c r="C698" s="12"/>
      <c r="D698" s="12"/>
    </row>
    <row r="699" customHeight="1" spans="1:4">
      <c r="A699" s="12"/>
      <c r="B699" s="12"/>
      <c r="C699" s="12"/>
      <c r="D699" s="12"/>
    </row>
    <row r="700" customHeight="1" spans="1:4">
      <c r="A700" s="12"/>
      <c r="B700" s="12"/>
      <c r="C700" s="12"/>
      <c r="D700" s="12"/>
    </row>
    <row r="701" customHeight="1" spans="1:4">
      <c r="A701" s="12"/>
      <c r="B701" s="12"/>
      <c r="C701" s="12"/>
      <c r="D701" s="12"/>
    </row>
    <row r="702" customHeight="1" spans="1:4">
      <c r="A702" s="12"/>
      <c r="B702" s="12"/>
      <c r="C702" s="12"/>
      <c r="D702" s="12"/>
    </row>
    <row r="703" customHeight="1" spans="1:4">
      <c r="A703" s="12"/>
      <c r="B703" s="12"/>
      <c r="C703" s="12"/>
      <c r="D703" s="12"/>
    </row>
    <row r="704" customHeight="1" spans="1:4">
      <c r="A704" s="12"/>
      <c r="B704" s="12"/>
      <c r="C704" s="12"/>
      <c r="D704" s="12"/>
    </row>
    <row r="705" customHeight="1" spans="1:4">
      <c r="A705" s="12"/>
      <c r="B705" s="12"/>
      <c r="C705" s="12"/>
      <c r="D705" s="12"/>
    </row>
    <row r="706" customHeight="1" spans="1:4">
      <c r="A706" s="12"/>
      <c r="B706" s="12"/>
      <c r="C706" s="12"/>
      <c r="D706" s="12"/>
    </row>
    <row r="707" customHeight="1" spans="1:4">
      <c r="A707" s="12"/>
      <c r="B707" s="12"/>
      <c r="C707" s="12"/>
      <c r="D707" s="12"/>
    </row>
    <row r="708" customHeight="1" spans="1:4">
      <c r="A708" s="12"/>
      <c r="B708" s="12"/>
      <c r="C708" s="12"/>
      <c r="D708" s="12"/>
    </row>
    <row r="709" customHeight="1" spans="1:4">
      <c r="A709" s="12"/>
      <c r="B709" s="12"/>
      <c r="C709" s="12"/>
      <c r="D709" s="12"/>
    </row>
    <row r="710" customHeight="1" spans="1:4">
      <c r="A710" s="12"/>
      <c r="B710" s="12"/>
      <c r="C710" s="12"/>
      <c r="D710" s="12"/>
    </row>
    <row r="711" customHeight="1" spans="1:4">
      <c r="A711" s="12"/>
      <c r="B711" s="12"/>
      <c r="C711" s="12"/>
      <c r="D711" s="12"/>
    </row>
    <row r="712" customHeight="1" spans="1:4">
      <c r="A712" s="12"/>
      <c r="B712" s="12"/>
      <c r="C712" s="12"/>
      <c r="D712" s="12"/>
    </row>
    <row r="713" customHeight="1" spans="1:4">
      <c r="A713" s="12"/>
      <c r="B713" s="12"/>
      <c r="C713" s="12"/>
      <c r="D713" s="12"/>
    </row>
    <row r="714" customHeight="1" spans="1:4">
      <c r="A714" s="12"/>
      <c r="B714" s="12"/>
      <c r="C714" s="12"/>
      <c r="D714" s="12"/>
    </row>
    <row r="715" customHeight="1" spans="1:4">
      <c r="A715" s="12"/>
      <c r="B715" s="12"/>
      <c r="C715" s="12"/>
      <c r="D715" s="12"/>
    </row>
    <row r="716" customHeight="1" spans="1:4">
      <c r="A716" s="12"/>
      <c r="B716" s="12"/>
      <c r="C716" s="12"/>
      <c r="D716" s="12"/>
    </row>
    <row r="717" customHeight="1" spans="1:4">
      <c r="A717" s="12"/>
      <c r="B717" s="12"/>
      <c r="C717" s="12"/>
      <c r="D717" s="12"/>
    </row>
    <row r="718" customHeight="1" spans="1:4">
      <c r="A718" s="12"/>
      <c r="B718" s="12"/>
      <c r="C718" s="12"/>
      <c r="D718" s="12"/>
    </row>
    <row r="719" customHeight="1" spans="1:4">
      <c r="A719" s="12"/>
      <c r="B719" s="12"/>
      <c r="C719" s="12"/>
      <c r="D719" s="12"/>
    </row>
    <row r="720" customHeight="1" spans="1:4">
      <c r="A720" s="12"/>
      <c r="B720" s="12"/>
      <c r="C720" s="12"/>
      <c r="D720" s="12"/>
    </row>
    <row r="721" customHeight="1" spans="1:4">
      <c r="A721" s="12"/>
      <c r="B721" s="12"/>
      <c r="C721" s="12"/>
      <c r="D721" s="12"/>
    </row>
    <row r="722" customHeight="1" spans="1:4">
      <c r="A722" s="12"/>
      <c r="B722" s="12"/>
      <c r="C722" s="12"/>
      <c r="D722" s="12"/>
    </row>
    <row r="723" customHeight="1" spans="1:4">
      <c r="A723" s="12"/>
      <c r="B723" s="12"/>
      <c r="C723" s="12"/>
      <c r="D723" s="12"/>
    </row>
    <row r="724" customHeight="1" spans="1:4">
      <c r="A724" s="12"/>
      <c r="B724" s="12"/>
      <c r="C724" s="12"/>
      <c r="D724" s="12"/>
    </row>
    <row r="725" customHeight="1" spans="1:4">
      <c r="A725" s="12"/>
      <c r="B725" s="12"/>
      <c r="C725" s="12"/>
      <c r="D725" s="12"/>
    </row>
    <row r="726" customHeight="1" spans="1:4">
      <c r="A726" s="12"/>
      <c r="B726" s="12"/>
      <c r="C726" s="12"/>
      <c r="D726" s="12"/>
    </row>
    <row r="727" customHeight="1" spans="1:4">
      <c r="A727" s="12"/>
      <c r="B727" s="12"/>
      <c r="C727" s="12"/>
      <c r="D727" s="12"/>
    </row>
    <row r="728" customHeight="1" spans="1:4">
      <c r="A728" s="12"/>
      <c r="B728" s="12"/>
      <c r="C728" s="12"/>
      <c r="D728" s="12"/>
    </row>
    <row r="729" customHeight="1" spans="1:4">
      <c r="A729" s="12"/>
      <c r="B729" s="12"/>
      <c r="C729" s="12"/>
      <c r="D729" s="12"/>
    </row>
    <row r="730" customHeight="1" spans="1:4">
      <c r="A730" s="12"/>
      <c r="B730" s="12"/>
      <c r="C730" s="12"/>
      <c r="D730" s="12"/>
    </row>
    <row r="731" customHeight="1" spans="1:4">
      <c r="A731" s="12"/>
      <c r="B731" s="12"/>
      <c r="C731" s="12"/>
      <c r="D731" s="12"/>
    </row>
    <row r="732" customHeight="1" spans="1:4">
      <c r="A732" s="12"/>
      <c r="B732" s="12"/>
      <c r="C732" s="12"/>
      <c r="D732" s="12"/>
    </row>
    <row r="733" customHeight="1" spans="1:4">
      <c r="A733" s="12"/>
      <c r="B733" s="12"/>
      <c r="C733" s="12"/>
      <c r="D733" s="12"/>
    </row>
    <row r="734" customHeight="1" spans="1:4">
      <c r="A734" s="12"/>
      <c r="B734" s="12"/>
      <c r="C734" s="12"/>
      <c r="D734" s="12"/>
    </row>
    <row r="735" customHeight="1" spans="1:4">
      <c r="A735" s="12"/>
      <c r="B735" s="12"/>
      <c r="C735" s="12"/>
      <c r="D735" s="12"/>
    </row>
    <row r="736" customHeight="1" spans="1:4">
      <c r="A736" s="12"/>
      <c r="B736" s="12"/>
      <c r="C736" s="12"/>
      <c r="D736" s="12"/>
    </row>
    <row r="737" customHeight="1" spans="1:4">
      <c r="A737" s="12"/>
      <c r="B737" s="12"/>
      <c r="C737" s="12"/>
      <c r="D737" s="12"/>
    </row>
    <row r="738" customHeight="1" spans="1:4">
      <c r="A738" s="12"/>
      <c r="B738" s="12"/>
      <c r="C738" s="12"/>
      <c r="D738" s="12"/>
    </row>
    <row r="739" customHeight="1" spans="1:4">
      <c r="A739" s="12"/>
      <c r="B739" s="12"/>
      <c r="C739" s="12"/>
      <c r="D739" s="12"/>
    </row>
    <row r="740" customHeight="1" spans="1:4">
      <c r="A740" s="12"/>
      <c r="B740" s="12"/>
      <c r="C740" s="12"/>
      <c r="D740" s="12"/>
    </row>
    <row r="741" customHeight="1" spans="1:4">
      <c r="A741" s="12"/>
      <c r="B741" s="12"/>
      <c r="C741" s="12"/>
      <c r="D741" s="12"/>
    </row>
    <row r="742" customHeight="1" spans="1:4">
      <c r="A742" s="12"/>
      <c r="B742" s="12"/>
      <c r="C742" s="12"/>
      <c r="D742" s="12"/>
    </row>
    <row r="743" customHeight="1" spans="1:4">
      <c r="A743" s="12"/>
      <c r="B743" s="12"/>
      <c r="C743" s="12"/>
      <c r="D743" s="12"/>
    </row>
    <row r="744" customHeight="1" spans="1:4">
      <c r="A744" s="12"/>
      <c r="B744" s="12"/>
      <c r="C744" s="12"/>
      <c r="D744" s="12"/>
    </row>
    <row r="745" customHeight="1" spans="1:4">
      <c r="A745" s="12"/>
      <c r="B745" s="12"/>
      <c r="C745" s="12"/>
      <c r="D745" s="12"/>
    </row>
    <row r="746" customHeight="1" spans="1:4">
      <c r="A746" s="12"/>
      <c r="B746" s="12"/>
      <c r="C746" s="12"/>
      <c r="D746" s="12"/>
    </row>
    <row r="747" customHeight="1" spans="1:4">
      <c r="A747" s="12"/>
      <c r="B747" s="12"/>
      <c r="C747" s="12"/>
      <c r="D747" s="12"/>
    </row>
    <row r="748" customHeight="1" spans="1:4">
      <c r="A748" s="12"/>
      <c r="B748" s="12"/>
      <c r="C748" s="12"/>
      <c r="D748" s="12"/>
    </row>
    <row r="749" customHeight="1" spans="1:4">
      <c r="A749" s="12"/>
      <c r="B749" s="12"/>
      <c r="C749" s="12"/>
      <c r="D749" s="12"/>
    </row>
    <row r="750" customHeight="1" spans="1:4">
      <c r="A750" s="12"/>
      <c r="B750" s="12"/>
      <c r="C750" s="12"/>
      <c r="D750" s="12"/>
    </row>
    <row r="751" customHeight="1" spans="1:4">
      <c r="A751" s="12"/>
      <c r="B751" s="12"/>
      <c r="C751" s="12"/>
      <c r="D751" s="12"/>
    </row>
    <row r="752" customHeight="1" spans="1:4">
      <c r="A752" s="12"/>
      <c r="B752" s="12"/>
      <c r="C752" s="12"/>
      <c r="D752" s="12"/>
    </row>
    <row r="753" customHeight="1" spans="1:4">
      <c r="A753" s="12"/>
      <c r="B753" s="12"/>
      <c r="C753" s="12"/>
      <c r="D753" s="12"/>
    </row>
    <row r="754" customHeight="1" spans="1:4">
      <c r="A754" s="12"/>
      <c r="B754" s="12"/>
      <c r="C754" s="12"/>
      <c r="D754" s="12"/>
    </row>
    <row r="755" customHeight="1" spans="1:4">
      <c r="A755" s="12"/>
      <c r="B755" s="12"/>
      <c r="C755" s="12"/>
      <c r="D755" s="12"/>
    </row>
    <row r="756" customHeight="1" spans="1:4">
      <c r="A756" s="12"/>
      <c r="B756" s="12"/>
      <c r="C756" s="12"/>
      <c r="D756" s="12"/>
    </row>
    <row r="757" customHeight="1" spans="1:4">
      <c r="A757" s="12"/>
      <c r="B757" s="12"/>
      <c r="C757" s="12"/>
      <c r="D757" s="12"/>
    </row>
    <row r="758" customHeight="1" spans="1:4">
      <c r="A758" s="12"/>
      <c r="B758" s="12"/>
      <c r="C758" s="12"/>
      <c r="D758" s="12"/>
    </row>
    <row r="759" customHeight="1" spans="1:4">
      <c r="A759" s="12"/>
      <c r="B759" s="12"/>
      <c r="C759" s="12"/>
      <c r="D759" s="12"/>
    </row>
    <row r="760" customHeight="1" spans="1:4">
      <c r="A760" s="12"/>
      <c r="B760" s="12"/>
      <c r="C760" s="12"/>
      <c r="D760" s="12"/>
    </row>
    <row r="761" customHeight="1" spans="1:4">
      <c r="A761" s="12"/>
      <c r="B761" s="12"/>
      <c r="C761" s="12"/>
      <c r="D761" s="12"/>
    </row>
    <row r="762" customHeight="1" spans="1:4">
      <c r="A762" s="12"/>
      <c r="B762" s="12"/>
      <c r="C762" s="12"/>
      <c r="D762" s="12"/>
    </row>
    <row r="763" customHeight="1" spans="1:4">
      <c r="A763" s="12"/>
      <c r="B763" s="12"/>
      <c r="C763" s="12"/>
      <c r="D763" s="12"/>
    </row>
    <row r="764" customHeight="1" spans="1:4">
      <c r="A764" s="12"/>
      <c r="B764" s="12"/>
      <c r="C764" s="12"/>
      <c r="D764" s="12"/>
    </row>
    <row r="765" customHeight="1" spans="1:4">
      <c r="A765" s="12"/>
      <c r="B765" s="12"/>
      <c r="C765" s="12"/>
      <c r="D765" s="12"/>
    </row>
    <row r="766" customHeight="1" spans="1:4">
      <c r="A766" s="12"/>
      <c r="B766" s="12"/>
      <c r="C766" s="12"/>
      <c r="D766" s="12"/>
    </row>
    <row r="767" customHeight="1" spans="1:4">
      <c r="A767" s="12"/>
      <c r="B767" s="12"/>
      <c r="C767" s="12"/>
      <c r="D767" s="12"/>
    </row>
    <row r="768" customHeight="1" spans="1:4">
      <c r="A768" s="12"/>
      <c r="B768" s="12"/>
      <c r="C768" s="12"/>
      <c r="D768" s="12"/>
    </row>
    <row r="769" customHeight="1" spans="1:4">
      <c r="A769" s="12"/>
      <c r="B769" s="12"/>
      <c r="C769" s="12"/>
      <c r="D769" s="12"/>
    </row>
    <row r="770" customHeight="1" spans="1:4">
      <c r="A770" s="12"/>
      <c r="B770" s="12"/>
      <c r="C770" s="12"/>
      <c r="D770" s="12"/>
    </row>
    <row r="771" customHeight="1" spans="1:4">
      <c r="A771" s="12"/>
      <c r="B771" s="12"/>
      <c r="C771" s="12"/>
      <c r="D771" s="12"/>
    </row>
    <row r="772" customHeight="1" spans="1:4">
      <c r="A772" s="12"/>
      <c r="B772" s="12"/>
      <c r="C772" s="12"/>
      <c r="D772" s="12"/>
    </row>
    <row r="773" customHeight="1" spans="1:4">
      <c r="A773" s="12"/>
      <c r="B773" s="12"/>
      <c r="C773" s="12"/>
      <c r="D773" s="12"/>
    </row>
    <row r="774" customHeight="1" spans="1:4">
      <c r="A774" s="12"/>
      <c r="B774" s="12"/>
      <c r="C774" s="12"/>
      <c r="D774" s="12"/>
    </row>
    <row r="775" customHeight="1" spans="1:4">
      <c r="A775" s="12"/>
      <c r="B775" s="12"/>
      <c r="C775" s="12"/>
      <c r="D775" s="12"/>
    </row>
    <row r="776" customHeight="1" spans="1:4">
      <c r="A776" s="12"/>
      <c r="B776" s="12"/>
      <c r="C776" s="12"/>
      <c r="D776" s="12"/>
    </row>
    <row r="777" customHeight="1" spans="1:4">
      <c r="A777" s="12"/>
      <c r="B777" s="12"/>
      <c r="C777" s="12"/>
      <c r="D777" s="12"/>
    </row>
    <row r="778" customHeight="1" spans="1:4">
      <c r="A778" s="12"/>
      <c r="B778" s="12"/>
      <c r="C778" s="12"/>
      <c r="D778" s="12"/>
    </row>
    <row r="779" customHeight="1" spans="1:4">
      <c r="A779" s="12"/>
      <c r="B779" s="12"/>
      <c r="C779" s="12"/>
      <c r="D779" s="12"/>
    </row>
    <row r="780" customHeight="1" spans="1:4">
      <c r="A780" s="12"/>
      <c r="B780" s="12"/>
      <c r="C780" s="12"/>
      <c r="D780" s="12"/>
    </row>
    <row r="781" customHeight="1" spans="1:4">
      <c r="A781" s="12"/>
      <c r="B781" s="12"/>
      <c r="C781" s="12"/>
      <c r="D781" s="12"/>
    </row>
    <row r="782" customHeight="1" spans="1:4">
      <c r="A782" s="12"/>
      <c r="B782" s="12"/>
      <c r="C782" s="12"/>
      <c r="D782" s="12"/>
    </row>
    <row r="783" customHeight="1" spans="1:4">
      <c r="A783" s="12"/>
      <c r="B783" s="12"/>
      <c r="C783" s="12"/>
      <c r="D783" s="12"/>
    </row>
    <row r="784" customHeight="1" spans="1:4">
      <c r="A784" s="12"/>
      <c r="B784" s="12"/>
      <c r="C784" s="12"/>
      <c r="D784" s="12"/>
    </row>
    <row r="785" customHeight="1" spans="1:4">
      <c r="A785" s="12"/>
      <c r="B785" s="12"/>
      <c r="C785" s="12"/>
      <c r="D785" s="12"/>
    </row>
    <row r="786" customHeight="1" spans="1:4">
      <c r="A786" s="12"/>
      <c r="B786" s="12"/>
      <c r="C786" s="12"/>
      <c r="D786" s="12"/>
    </row>
    <row r="787" customHeight="1" spans="1:4">
      <c r="A787" s="12"/>
      <c r="B787" s="12"/>
      <c r="C787" s="12"/>
      <c r="D787" s="12"/>
    </row>
    <row r="788" customHeight="1" spans="1:4">
      <c r="A788" s="12"/>
      <c r="B788" s="12"/>
      <c r="C788" s="12"/>
      <c r="D788" s="12"/>
    </row>
    <row r="789" customHeight="1" spans="1:4">
      <c r="A789" s="12"/>
      <c r="B789" s="12"/>
      <c r="C789" s="12"/>
      <c r="D789" s="12"/>
    </row>
    <row r="790" customHeight="1" spans="1:4">
      <c r="A790" s="12"/>
      <c r="B790" s="12"/>
      <c r="C790" s="12"/>
      <c r="D790" s="12"/>
    </row>
    <row r="791" customHeight="1" spans="1:4">
      <c r="A791" s="12"/>
      <c r="B791" s="12"/>
      <c r="C791" s="12"/>
      <c r="D791" s="12"/>
    </row>
    <row r="792" customHeight="1" spans="1:4">
      <c r="A792" s="12"/>
      <c r="B792" s="12"/>
      <c r="C792" s="12"/>
      <c r="D792" s="12"/>
    </row>
    <row r="793" customHeight="1" spans="1:4">
      <c r="A793" s="12"/>
      <c r="B793" s="12"/>
      <c r="C793" s="12"/>
      <c r="D793" s="12"/>
    </row>
    <row r="794" customHeight="1" spans="1:4">
      <c r="A794" s="12"/>
      <c r="B794" s="12"/>
      <c r="C794" s="12"/>
      <c r="D794" s="12"/>
    </row>
    <row r="795" customHeight="1" spans="1:4">
      <c r="A795" s="12"/>
      <c r="B795" s="12"/>
      <c r="C795" s="12"/>
      <c r="D795" s="12"/>
    </row>
    <row r="796" customHeight="1" spans="1:4">
      <c r="A796" s="12"/>
      <c r="B796" s="12"/>
      <c r="C796" s="12"/>
      <c r="D796" s="12"/>
    </row>
    <row r="797" customHeight="1" spans="1:4">
      <c r="A797" s="12"/>
      <c r="B797" s="12"/>
      <c r="C797" s="12"/>
      <c r="D797" s="12"/>
    </row>
    <row r="798" customHeight="1" spans="1:4">
      <c r="A798" s="12"/>
      <c r="B798" s="12"/>
      <c r="C798" s="12"/>
      <c r="D798" s="12"/>
    </row>
    <row r="799" customHeight="1" spans="1:4">
      <c r="A799" s="12"/>
      <c r="B799" s="12"/>
      <c r="C799" s="12"/>
      <c r="D799" s="12"/>
    </row>
    <row r="800" customHeight="1" spans="1:4">
      <c r="A800" s="12"/>
      <c r="B800" s="12"/>
      <c r="C800" s="12"/>
      <c r="D800" s="12"/>
    </row>
    <row r="801" customHeight="1" spans="1:4">
      <c r="A801" s="12"/>
      <c r="B801" s="12"/>
      <c r="C801" s="12"/>
      <c r="D801" s="12"/>
    </row>
    <row r="802" customHeight="1" spans="1:4">
      <c r="A802" s="12"/>
      <c r="B802" s="12"/>
      <c r="C802" s="12"/>
      <c r="D802" s="12"/>
    </row>
    <row r="803" customHeight="1" spans="1:4">
      <c r="A803" s="12"/>
      <c r="B803" s="12"/>
      <c r="C803" s="12"/>
      <c r="D803" s="12"/>
    </row>
    <row r="804" customHeight="1" spans="1:4">
      <c r="A804" s="12"/>
      <c r="B804" s="12"/>
      <c r="C804" s="12"/>
      <c r="D804" s="12"/>
    </row>
    <row r="805" customHeight="1" spans="1:4">
      <c r="A805" s="12"/>
      <c r="B805" s="12"/>
      <c r="C805" s="12"/>
      <c r="D805" s="12"/>
    </row>
    <row r="806" customHeight="1" spans="1:4">
      <c r="A806" s="12"/>
      <c r="B806" s="12"/>
      <c r="C806" s="12"/>
      <c r="D806" s="12"/>
    </row>
    <row r="807" customHeight="1" spans="1:4">
      <c r="A807" s="12"/>
      <c r="B807" s="12"/>
      <c r="C807" s="12"/>
      <c r="D807" s="12"/>
    </row>
    <row r="808" customHeight="1" spans="1:4">
      <c r="A808" s="12"/>
      <c r="B808" s="12"/>
      <c r="C808" s="12"/>
      <c r="D808" s="12"/>
    </row>
    <row r="809" customHeight="1" spans="1:4">
      <c r="A809" s="12"/>
      <c r="B809" s="12"/>
      <c r="C809" s="12"/>
      <c r="D809" s="12"/>
    </row>
    <row r="810" customHeight="1" spans="1:4">
      <c r="A810" s="12"/>
      <c r="B810" s="12"/>
      <c r="C810" s="12"/>
      <c r="D810" s="12"/>
    </row>
    <row r="811" customHeight="1" spans="1:4">
      <c r="A811" s="12"/>
      <c r="B811" s="12"/>
      <c r="C811" s="12"/>
      <c r="D811" s="12"/>
    </row>
    <row r="812" customHeight="1" spans="1:4">
      <c r="A812" s="12"/>
      <c r="B812" s="12"/>
      <c r="C812" s="12"/>
      <c r="D812" s="12"/>
    </row>
    <row r="813" customHeight="1" spans="1:4">
      <c r="A813" s="12"/>
      <c r="B813" s="12"/>
      <c r="C813" s="12"/>
      <c r="D813" s="12"/>
    </row>
    <row r="814" customHeight="1" spans="1:4">
      <c r="A814" s="12"/>
      <c r="B814" s="12"/>
      <c r="C814" s="12"/>
      <c r="D814" s="12"/>
    </row>
    <row r="815" customHeight="1" spans="1:4">
      <c r="A815" s="12"/>
      <c r="B815" s="12"/>
      <c r="C815" s="12"/>
      <c r="D815" s="12"/>
    </row>
    <row r="816" customHeight="1" spans="1:4">
      <c r="A816" s="12"/>
      <c r="B816" s="12"/>
      <c r="C816" s="12"/>
      <c r="D816" s="12"/>
    </row>
    <row r="817" customHeight="1" spans="1:4">
      <c r="A817" s="12"/>
      <c r="B817" s="12"/>
      <c r="C817" s="12"/>
      <c r="D817" s="12"/>
    </row>
    <row r="818" customHeight="1" spans="1:4">
      <c r="A818" s="12"/>
      <c r="B818" s="12"/>
      <c r="C818" s="12"/>
      <c r="D818" s="12"/>
    </row>
    <row r="819" customHeight="1" spans="1:4">
      <c r="A819" s="12"/>
      <c r="B819" s="12"/>
      <c r="C819" s="12"/>
      <c r="D819" s="12"/>
    </row>
    <row r="820" customHeight="1" spans="1:4">
      <c r="A820" s="12"/>
      <c r="B820" s="12"/>
      <c r="C820" s="12"/>
      <c r="D820" s="12"/>
    </row>
    <row r="821" customHeight="1" spans="1:4">
      <c r="A821" s="12"/>
      <c r="B821" s="12"/>
      <c r="C821" s="12"/>
      <c r="D821" s="12"/>
    </row>
    <row r="822" customHeight="1" spans="1:4">
      <c r="A822" s="12"/>
      <c r="B822" s="12"/>
      <c r="C822" s="12"/>
      <c r="D822" s="12"/>
    </row>
    <row r="823" customHeight="1" spans="1:4">
      <c r="A823" s="12"/>
      <c r="B823" s="12"/>
      <c r="C823" s="12"/>
      <c r="D823" s="12"/>
    </row>
    <row r="824" customHeight="1" spans="1:4">
      <c r="A824" s="12"/>
      <c r="B824" s="12"/>
      <c r="C824" s="12"/>
      <c r="D824" s="12"/>
    </row>
    <row r="825" customHeight="1" spans="1:4">
      <c r="A825" s="12"/>
      <c r="B825" s="12"/>
      <c r="C825" s="12"/>
      <c r="D825" s="12"/>
    </row>
    <row r="826" customHeight="1" spans="1:4">
      <c r="A826" s="12"/>
      <c r="B826" s="12"/>
      <c r="C826" s="12"/>
      <c r="D826" s="12"/>
    </row>
    <row r="827" customHeight="1" spans="1:4">
      <c r="A827" s="12"/>
      <c r="B827" s="12"/>
      <c r="C827" s="12"/>
      <c r="D827" s="12"/>
    </row>
    <row r="828" customHeight="1" spans="1:4">
      <c r="A828" s="12"/>
      <c r="B828" s="12"/>
      <c r="C828" s="12"/>
      <c r="D828" s="12"/>
    </row>
    <row r="829" customHeight="1" spans="1:4">
      <c r="A829" s="12"/>
      <c r="B829" s="12"/>
      <c r="C829" s="12"/>
      <c r="D829" s="12"/>
    </row>
    <row r="830" customHeight="1" spans="1:4">
      <c r="A830" s="12"/>
      <c r="B830" s="12"/>
      <c r="C830" s="12"/>
      <c r="D830" s="12"/>
    </row>
    <row r="831" customHeight="1" spans="1:4">
      <c r="A831" s="12"/>
      <c r="B831" s="12"/>
      <c r="C831" s="12"/>
      <c r="D831" s="12"/>
    </row>
    <row r="832" customHeight="1" spans="1:4">
      <c r="A832" s="12"/>
      <c r="B832" s="12"/>
      <c r="C832" s="12"/>
      <c r="D832" s="12"/>
    </row>
    <row r="833" customHeight="1" spans="1:4">
      <c r="A833" s="12"/>
      <c r="B833" s="12"/>
      <c r="C833" s="12"/>
      <c r="D833" s="12"/>
    </row>
    <row r="834" customHeight="1" spans="1:4">
      <c r="A834" s="12"/>
      <c r="B834" s="12"/>
      <c r="C834" s="12"/>
      <c r="D834" s="12"/>
    </row>
    <row r="835" customHeight="1" spans="1:4">
      <c r="A835" s="12"/>
      <c r="B835" s="12"/>
      <c r="C835" s="12"/>
      <c r="D835" s="12"/>
    </row>
    <row r="836" customHeight="1" spans="1:4">
      <c r="A836" s="12"/>
      <c r="B836" s="12"/>
      <c r="C836" s="12"/>
      <c r="D836" s="12"/>
    </row>
    <row r="837" customHeight="1" spans="1:4">
      <c r="A837" s="12"/>
      <c r="B837" s="12"/>
      <c r="C837" s="12"/>
      <c r="D837" s="12"/>
    </row>
    <row r="838" customHeight="1" spans="1:4">
      <c r="A838" s="12"/>
      <c r="B838" s="12"/>
      <c r="C838" s="12"/>
      <c r="D838" s="12"/>
    </row>
    <row r="839" customHeight="1" spans="1:4">
      <c r="A839" s="12"/>
      <c r="B839" s="12"/>
      <c r="C839" s="12"/>
      <c r="D839" s="12"/>
    </row>
    <row r="840" customHeight="1" spans="1:4">
      <c r="A840" s="12"/>
      <c r="B840" s="12"/>
      <c r="C840" s="12"/>
      <c r="D840" s="12"/>
    </row>
    <row r="841" customHeight="1" spans="1:4">
      <c r="A841" s="12"/>
      <c r="B841" s="12"/>
      <c r="C841" s="12"/>
      <c r="D841" s="12"/>
    </row>
    <row r="842" customHeight="1" spans="1:4">
      <c r="A842" s="12"/>
      <c r="B842" s="12"/>
      <c r="C842" s="12"/>
      <c r="D842" s="12"/>
    </row>
    <row r="843" customHeight="1" spans="1:4">
      <c r="A843" s="12"/>
      <c r="B843" s="12"/>
      <c r="C843" s="12"/>
      <c r="D843" s="12"/>
    </row>
    <row r="844" customHeight="1" spans="1:4">
      <c r="A844" s="12"/>
      <c r="B844" s="12"/>
      <c r="C844" s="12"/>
      <c r="D844" s="12"/>
    </row>
    <row r="845" customHeight="1" spans="1:4">
      <c r="A845" s="12"/>
      <c r="B845" s="12"/>
      <c r="C845" s="12"/>
      <c r="D845" s="12"/>
    </row>
    <row r="846" customHeight="1" spans="1:4">
      <c r="A846" s="12"/>
      <c r="B846" s="12"/>
      <c r="C846" s="12"/>
      <c r="D846" s="12"/>
    </row>
    <row r="847" customHeight="1" spans="1:4">
      <c r="A847" s="12"/>
      <c r="B847" s="12"/>
      <c r="C847" s="12"/>
      <c r="D847" s="12"/>
    </row>
    <row r="848" customHeight="1" spans="1:4">
      <c r="A848" s="12"/>
      <c r="B848" s="12"/>
      <c r="C848" s="12"/>
      <c r="D848" s="12"/>
    </row>
    <row r="849" customHeight="1" spans="1:4">
      <c r="A849" s="12"/>
      <c r="B849" s="12"/>
      <c r="C849" s="12"/>
      <c r="D849" s="12"/>
    </row>
    <row r="850" customHeight="1" spans="1:4">
      <c r="A850" s="12"/>
      <c r="B850" s="12"/>
      <c r="C850" s="12"/>
      <c r="D850" s="12"/>
    </row>
    <row r="851" customHeight="1" spans="1:4">
      <c r="A851" s="12"/>
      <c r="B851" s="12"/>
      <c r="C851" s="12"/>
      <c r="D851" s="12"/>
    </row>
    <row r="852" customHeight="1" spans="1:4">
      <c r="A852" s="12"/>
      <c r="B852" s="12"/>
      <c r="C852" s="12"/>
      <c r="D852" s="12"/>
    </row>
    <row r="853" customHeight="1" spans="1:4">
      <c r="A853" s="12"/>
      <c r="B853" s="12"/>
      <c r="C853" s="12"/>
      <c r="D853" s="12"/>
    </row>
    <row r="854" customHeight="1" spans="1:4">
      <c r="A854" s="12"/>
      <c r="B854" s="12"/>
      <c r="C854" s="12"/>
      <c r="D854" s="12"/>
    </row>
    <row r="855" customHeight="1" spans="1:4">
      <c r="A855" s="12"/>
      <c r="B855" s="12"/>
      <c r="C855" s="12"/>
      <c r="D855" s="12"/>
    </row>
    <row r="856" customHeight="1" spans="1:4">
      <c r="A856" s="12"/>
      <c r="B856" s="12"/>
      <c r="C856" s="12"/>
      <c r="D856" s="12"/>
    </row>
    <row r="857" customHeight="1" spans="1:4">
      <c r="A857" s="12"/>
      <c r="B857" s="12"/>
      <c r="C857" s="12"/>
      <c r="D857" s="12"/>
    </row>
    <row r="858" customHeight="1" spans="1:4">
      <c r="A858" s="12"/>
      <c r="B858" s="12"/>
      <c r="C858" s="12"/>
      <c r="D858" s="12"/>
    </row>
    <row r="859" customHeight="1" spans="1:4">
      <c r="A859" s="12"/>
      <c r="B859" s="12"/>
      <c r="C859" s="12"/>
      <c r="D859" s="12"/>
    </row>
    <row r="860" customHeight="1" spans="1:4">
      <c r="A860" s="12"/>
      <c r="B860" s="12"/>
      <c r="C860" s="12"/>
      <c r="D860" s="12"/>
    </row>
    <row r="861" customHeight="1" spans="1:4">
      <c r="A861" s="12"/>
      <c r="B861" s="12"/>
      <c r="C861" s="12"/>
      <c r="D861" s="12"/>
    </row>
    <row r="862" customHeight="1" spans="1:4">
      <c r="A862" s="12"/>
      <c r="B862" s="12"/>
      <c r="C862" s="12"/>
      <c r="D862" s="12"/>
    </row>
    <row r="863" customHeight="1" spans="1:4">
      <c r="A863" s="12"/>
      <c r="B863" s="12"/>
      <c r="C863" s="12"/>
      <c r="D863" s="12"/>
    </row>
    <row r="864" customHeight="1" spans="1:4">
      <c r="A864" s="12"/>
      <c r="B864" s="12"/>
      <c r="C864" s="12"/>
      <c r="D864" s="12"/>
    </row>
    <row r="865" customHeight="1" spans="1:4">
      <c r="A865" s="12"/>
      <c r="B865" s="12"/>
      <c r="C865" s="12"/>
      <c r="D865" s="12"/>
    </row>
    <row r="866" customHeight="1" spans="1:4">
      <c r="A866" s="12"/>
      <c r="B866" s="12"/>
      <c r="C866" s="12"/>
      <c r="D866" s="12"/>
    </row>
    <row r="867" customHeight="1" spans="1:4">
      <c r="A867" s="12"/>
      <c r="B867" s="12"/>
      <c r="C867" s="12"/>
      <c r="D867" s="12"/>
    </row>
    <row r="868" customHeight="1" spans="1:4">
      <c r="A868" s="12"/>
      <c r="B868" s="12"/>
      <c r="C868" s="12"/>
      <c r="D868" s="12"/>
    </row>
    <row r="869" customHeight="1" spans="1:4">
      <c r="A869" s="12"/>
      <c r="B869" s="12"/>
      <c r="C869" s="12"/>
      <c r="D869" s="12"/>
    </row>
    <row r="870" customHeight="1" spans="1:4">
      <c r="A870" s="12"/>
      <c r="B870" s="12"/>
      <c r="C870" s="12"/>
      <c r="D870" s="12"/>
    </row>
    <row r="871" customHeight="1" spans="1:4">
      <c r="A871" s="12"/>
      <c r="B871" s="12"/>
      <c r="C871" s="12"/>
      <c r="D871" s="12"/>
    </row>
    <row r="872" customHeight="1" spans="1:4">
      <c r="A872" s="12"/>
      <c r="B872" s="12"/>
      <c r="C872" s="12"/>
      <c r="D872" s="12"/>
    </row>
    <row r="873" customHeight="1" spans="1:4">
      <c r="A873" s="12"/>
      <c r="B873" s="12"/>
      <c r="C873" s="12"/>
      <c r="D873" s="12"/>
    </row>
    <row r="874" customHeight="1" spans="1:4">
      <c r="A874" s="12"/>
      <c r="B874" s="12"/>
      <c r="C874" s="12"/>
      <c r="D874" s="12"/>
    </row>
    <row r="875" customHeight="1" spans="1:4">
      <c r="A875" s="12"/>
      <c r="B875" s="12"/>
      <c r="C875" s="12"/>
      <c r="D875" s="12"/>
    </row>
    <row r="876" customHeight="1" spans="1:4">
      <c r="A876" s="12"/>
      <c r="B876" s="12"/>
      <c r="C876" s="12"/>
      <c r="D876" s="12"/>
    </row>
    <row r="877" customHeight="1" spans="1:4">
      <c r="A877" s="12"/>
      <c r="B877" s="12"/>
      <c r="C877" s="12"/>
      <c r="D877" s="12"/>
    </row>
    <row r="878" customHeight="1" spans="1:4">
      <c r="A878" s="12"/>
      <c r="B878" s="12"/>
      <c r="C878" s="12"/>
      <c r="D878" s="12"/>
    </row>
    <row r="879" customHeight="1" spans="1:4">
      <c r="A879" s="12"/>
      <c r="B879" s="12"/>
      <c r="C879" s="12"/>
      <c r="D879" s="12"/>
    </row>
    <row r="880" customHeight="1" spans="1:4">
      <c r="A880" s="12"/>
      <c r="B880" s="12"/>
      <c r="C880" s="12"/>
      <c r="D880" s="12"/>
    </row>
    <row r="881" customHeight="1" spans="1:4">
      <c r="A881" s="12"/>
      <c r="B881" s="12"/>
      <c r="C881" s="12"/>
      <c r="D881" s="12"/>
    </row>
    <row r="882" customHeight="1" spans="1:4">
      <c r="A882" s="12"/>
      <c r="B882" s="12"/>
      <c r="C882" s="12"/>
      <c r="D882" s="12"/>
    </row>
    <row r="883" customHeight="1" spans="1:4">
      <c r="A883" s="12"/>
      <c r="B883" s="12"/>
      <c r="C883" s="12"/>
      <c r="D883" s="12"/>
    </row>
    <row r="884" customHeight="1" spans="1:4">
      <c r="A884" s="12"/>
      <c r="B884" s="12"/>
      <c r="C884" s="12"/>
      <c r="D884" s="12"/>
    </row>
    <row r="885" customHeight="1" spans="1:4">
      <c r="A885" s="12"/>
      <c r="B885" s="12"/>
      <c r="C885" s="12"/>
      <c r="D885" s="12"/>
    </row>
    <row r="886" customHeight="1" spans="1:4">
      <c r="A886" s="12"/>
      <c r="B886" s="12"/>
      <c r="C886" s="12"/>
      <c r="D886" s="12"/>
    </row>
    <row r="887" customHeight="1" spans="1:4">
      <c r="A887" s="12"/>
      <c r="B887" s="12"/>
      <c r="C887" s="12"/>
      <c r="D887" s="12"/>
    </row>
    <row r="888" customHeight="1" spans="1:4">
      <c r="A888" s="12"/>
      <c r="B888" s="12"/>
      <c r="C888" s="12"/>
      <c r="D888" s="12"/>
    </row>
    <row r="889" customHeight="1" spans="1:4">
      <c r="A889" s="12"/>
      <c r="B889" s="12"/>
      <c r="C889" s="12"/>
      <c r="D889" s="12"/>
    </row>
    <row r="890" customHeight="1" spans="1:4">
      <c r="A890" s="12"/>
      <c r="B890" s="12"/>
      <c r="C890" s="12"/>
      <c r="D890" s="12"/>
    </row>
    <row r="891" customHeight="1" spans="1:4">
      <c r="A891" s="12"/>
      <c r="B891" s="12"/>
      <c r="C891" s="12"/>
      <c r="D891" s="12"/>
    </row>
    <row r="892" customHeight="1" spans="1:4">
      <c r="A892" s="12"/>
      <c r="B892" s="12"/>
      <c r="C892" s="12"/>
      <c r="D892" s="12"/>
    </row>
    <row r="893" customHeight="1" spans="1:4">
      <c r="A893" s="12"/>
      <c r="B893" s="12"/>
      <c r="C893" s="12"/>
      <c r="D893" s="12"/>
    </row>
    <row r="894" customHeight="1" spans="1:4">
      <c r="A894" s="12"/>
      <c r="B894" s="12"/>
      <c r="C894" s="12"/>
      <c r="D894" s="12"/>
    </row>
    <row r="895" customHeight="1" spans="1:4">
      <c r="A895" s="12"/>
      <c r="B895" s="12"/>
      <c r="C895" s="12"/>
      <c r="D895" s="12"/>
    </row>
    <row r="896" customHeight="1" spans="1:4">
      <c r="A896" s="12"/>
      <c r="B896" s="12"/>
      <c r="C896" s="12"/>
      <c r="D896" s="12"/>
    </row>
    <row r="897" customHeight="1" spans="1:4">
      <c r="A897" s="12"/>
      <c r="B897" s="12"/>
      <c r="C897" s="12"/>
      <c r="D897" s="12"/>
    </row>
    <row r="898" customHeight="1" spans="1:4">
      <c r="A898" s="12"/>
      <c r="B898" s="12"/>
      <c r="C898" s="12"/>
      <c r="D898" s="12"/>
    </row>
    <row r="899" customHeight="1" spans="1:4">
      <c r="A899" s="12"/>
      <c r="B899" s="12"/>
      <c r="C899" s="12"/>
      <c r="D899" s="12"/>
    </row>
    <row r="900" customHeight="1" spans="1:4">
      <c r="A900" s="12"/>
      <c r="B900" s="12"/>
      <c r="C900" s="12"/>
      <c r="D900" s="12"/>
    </row>
    <row r="901" customHeight="1" spans="1:4">
      <c r="A901" s="12"/>
      <c r="B901" s="12"/>
      <c r="C901" s="12"/>
      <c r="D901" s="12"/>
    </row>
    <row r="902" customHeight="1" spans="1:4">
      <c r="A902" s="12"/>
      <c r="B902" s="12"/>
      <c r="C902" s="12"/>
      <c r="D902" s="12"/>
    </row>
    <row r="903" customHeight="1" spans="1:4">
      <c r="A903" s="12"/>
      <c r="B903" s="12"/>
      <c r="C903" s="12"/>
      <c r="D903" s="12"/>
    </row>
    <row r="904" customHeight="1" spans="1:4">
      <c r="A904" s="12"/>
      <c r="B904" s="12"/>
      <c r="C904" s="12"/>
      <c r="D904" s="12"/>
    </row>
    <row r="905" customHeight="1" spans="1:4">
      <c r="A905" s="12"/>
      <c r="B905" s="12"/>
      <c r="C905" s="12"/>
      <c r="D905" s="12"/>
    </row>
    <row r="906" customHeight="1" spans="1:4">
      <c r="A906" s="12"/>
      <c r="B906" s="12"/>
      <c r="C906" s="12"/>
      <c r="D906" s="12"/>
    </row>
    <row r="907" customHeight="1" spans="1:4">
      <c r="A907" s="12"/>
      <c r="B907" s="12"/>
      <c r="C907" s="12"/>
      <c r="D907" s="12"/>
    </row>
    <row r="908" customHeight="1" spans="1:4">
      <c r="A908" s="12"/>
      <c r="B908" s="12"/>
      <c r="C908" s="12"/>
      <c r="D908" s="12"/>
    </row>
    <row r="909" customHeight="1" spans="1:4">
      <c r="A909" s="12"/>
      <c r="B909" s="12"/>
      <c r="C909" s="12"/>
      <c r="D909" s="12"/>
    </row>
    <row r="910" customHeight="1" spans="1:4">
      <c r="A910" s="12"/>
      <c r="B910" s="12"/>
      <c r="C910" s="12"/>
      <c r="D910" s="12"/>
    </row>
    <row r="911" customHeight="1" spans="1:4">
      <c r="A911" s="12"/>
      <c r="B911" s="12"/>
      <c r="C911" s="12"/>
      <c r="D911" s="12"/>
    </row>
    <row r="912" customHeight="1" spans="1:4">
      <c r="A912" s="12"/>
      <c r="B912" s="12"/>
      <c r="C912" s="12"/>
      <c r="D912" s="12"/>
    </row>
    <row r="913" customHeight="1" spans="1:4">
      <c r="A913" s="12"/>
      <c r="B913" s="12"/>
      <c r="C913" s="12"/>
      <c r="D913" s="12"/>
    </row>
    <row r="914" customHeight="1" spans="1:4">
      <c r="A914" s="12"/>
      <c r="B914" s="12"/>
      <c r="C914" s="12"/>
      <c r="D914" s="12"/>
    </row>
    <row r="915" customHeight="1" spans="1:4">
      <c r="A915" s="12"/>
      <c r="B915" s="12"/>
      <c r="C915" s="12"/>
      <c r="D915" s="12"/>
    </row>
    <row r="916" customHeight="1" spans="1:4">
      <c r="A916" s="12"/>
      <c r="B916" s="12"/>
      <c r="C916" s="12"/>
      <c r="D916" s="12"/>
    </row>
    <row r="917" customHeight="1" spans="1:4">
      <c r="A917" s="12"/>
      <c r="B917" s="12"/>
      <c r="C917" s="12"/>
      <c r="D917" s="12"/>
    </row>
    <row r="918" customHeight="1" spans="1:4">
      <c r="A918" s="12"/>
      <c r="B918" s="12"/>
      <c r="C918" s="12"/>
      <c r="D918" s="12"/>
    </row>
    <row r="919" customHeight="1" spans="1:4">
      <c r="A919" s="12"/>
      <c r="B919" s="12"/>
      <c r="C919" s="12"/>
      <c r="D919" s="12"/>
    </row>
    <row r="920" customHeight="1" spans="1:4">
      <c r="A920" s="12"/>
      <c r="B920" s="12"/>
      <c r="C920" s="12"/>
      <c r="D920" s="12"/>
    </row>
    <row r="921" customHeight="1" spans="1:4">
      <c r="A921" s="12"/>
      <c r="B921" s="12"/>
      <c r="C921" s="12"/>
      <c r="D921" s="12"/>
    </row>
    <row r="922" customHeight="1" spans="1:4">
      <c r="A922" s="12"/>
      <c r="B922" s="12"/>
      <c r="C922" s="12"/>
      <c r="D922" s="12"/>
    </row>
    <row r="923" customHeight="1" spans="1:4">
      <c r="A923" s="12"/>
      <c r="B923" s="12"/>
      <c r="C923" s="12"/>
      <c r="D923" s="12"/>
    </row>
    <row r="924" customHeight="1" spans="1:4">
      <c r="A924" s="12"/>
      <c r="B924" s="12"/>
      <c r="C924" s="12"/>
      <c r="D924" s="12"/>
    </row>
    <row r="925" customHeight="1" spans="1:4">
      <c r="A925" s="12"/>
      <c r="B925" s="12"/>
      <c r="C925" s="12"/>
      <c r="D925" s="12"/>
    </row>
    <row r="926" customHeight="1" spans="1:4">
      <c r="A926" s="12"/>
      <c r="B926" s="12"/>
      <c r="C926" s="12"/>
      <c r="D926" s="12"/>
    </row>
    <row r="927" customHeight="1" spans="1:4">
      <c r="A927" s="12"/>
      <c r="B927" s="12"/>
      <c r="C927" s="12"/>
      <c r="D927" s="12"/>
    </row>
    <row r="928" customHeight="1" spans="1:4">
      <c r="A928" s="12"/>
      <c r="B928" s="12"/>
      <c r="C928" s="12"/>
      <c r="D928" s="12"/>
    </row>
    <row r="929" customHeight="1" spans="1:4">
      <c r="A929" s="12"/>
      <c r="B929" s="12"/>
      <c r="C929" s="12"/>
      <c r="D929" s="12"/>
    </row>
    <row r="930" customHeight="1" spans="1:4">
      <c r="A930" s="12"/>
      <c r="B930" s="12"/>
      <c r="C930" s="12"/>
      <c r="D930" s="12"/>
    </row>
    <row r="931" customHeight="1" spans="1:4">
      <c r="A931" s="12"/>
      <c r="B931" s="12"/>
      <c r="C931" s="12"/>
      <c r="D931" s="12"/>
    </row>
    <row r="932" customHeight="1" spans="1:4">
      <c r="A932" s="12"/>
      <c r="B932" s="12"/>
      <c r="C932" s="12"/>
      <c r="D932" s="12"/>
    </row>
    <row r="933" customHeight="1" spans="1:4">
      <c r="A933" s="12"/>
      <c r="B933" s="12"/>
      <c r="C933" s="12"/>
      <c r="D933" s="12"/>
    </row>
    <row r="934" customHeight="1" spans="1:4">
      <c r="A934" s="12"/>
      <c r="B934" s="12"/>
      <c r="C934" s="12"/>
      <c r="D934" s="12"/>
    </row>
    <row r="935" customHeight="1" spans="1:4">
      <c r="A935" s="12"/>
      <c r="B935" s="12"/>
      <c r="C935" s="12"/>
      <c r="D935" s="12"/>
    </row>
    <row r="936" customHeight="1" spans="1:4">
      <c r="A936" s="12"/>
      <c r="B936" s="12"/>
      <c r="C936" s="12"/>
      <c r="D936" s="12"/>
    </row>
    <row r="937" customHeight="1" spans="1:4">
      <c r="A937" s="12"/>
      <c r="B937" s="12"/>
      <c r="C937" s="12"/>
      <c r="D937" s="12"/>
    </row>
    <row r="938" customHeight="1" spans="1:4">
      <c r="A938" s="12"/>
      <c r="B938" s="12"/>
      <c r="C938" s="12"/>
      <c r="D938" s="12"/>
    </row>
    <row r="939" customHeight="1" spans="1:4">
      <c r="A939" s="12"/>
      <c r="B939" s="12"/>
      <c r="C939" s="12"/>
      <c r="D939" s="12"/>
    </row>
    <row r="940" customHeight="1" spans="1:4">
      <c r="A940" s="12"/>
      <c r="B940" s="12"/>
      <c r="C940" s="12"/>
      <c r="D940" s="12"/>
    </row>
    <row r="941" customHeight="1" spans="1:4">
      <c r="A941" s="12"/>
      <c r="B941" s="12"/>
      <c r="C941" s="12"/>
      <c r="D941" s="12"/>
    </row>
    <row r="942" customHeight="1" spans="1:4">
      <c r="A942" s="12"/>
      <c r="B942" s="12"/>
      <c r="C942" s="12"/>
      <c r="D942" s="12"/>
    </row>
    <row r="943" customHeight="1" spans="1:4">
      <c r="A943" s="12"/>
      <c r="B943" s="12"/>
      <c r="C943" s="12"/>
      <c r="D943" s="12"/>
    </row>
    <row r="944" customHeight="1" spans="1:4">
      <c r="A944" s="12"/>
      <c r="B944" s="12"/>
      <c r="C944" s="12"/>
      <c r="D944" s="12"/>
    </row>
    <row r="945" customHeight="1" spans="1:4">
      <c r="A945" s="12"/>
      <c r="B945" s="12"/>
      <c r="C945" s="12"/>
      <c r="D945" s="12"/>
    </row>
    <row r="946" customHeight="1" spans="1:4">
      <c r="A946" s="12"/>
      <c r="B946" s="12"/>
      <c r="C946" s="12"/>
      <c r="D946" s="12"/>
    </row>
    <row r="947" customHeight="1" spans="1:4">
      <c r="A947" s="12"/>
      <c r="B947" s="12"/>
      <c r="C947" s="12"/>
      <c r="D947" s="12"/>
    </row>
    <row r="948" customHeight="1" spans="1:4">
      <c r="A948" s="12"/>
      <c r="B948" s="12"/>
      <c r="C948" s="12"/>
      <c r="D948" s="12"/>
    </row>
    <row r="949" customHeight="1" spans="1:4">
      <c r="A949" s="12"/>
      <c r="B949" s="12"/>
      <c r="C949" s="12"/>
      <c r="D949" s="12"/>
    </row>
    <row r="950" customHeight="1" spans="1:4">
      <c r="A950" s="12"/>
      <c r="B950" s="12"/>
      <c r="C950" s="12"/>
      <c r="D950" s="12"/>
    </row>
    <row r="951" customHeight="1" spans="1:4">
      <c r="A951" s="12"/>
      <c r="B951" s="12"/>
      <c r="C951" s="12"/>
      <c r="D951" s="12"/>
    </row>
    <row r="952" customHeight="1" spans="1:4">
      <c r="A952" s="12"/>
      <c r="B952" s="12"/>
      <c r="C952" s="12"/>
      <c r="D952" s="12"/>
    </row>
    <row r="953" customHeight="1" spans="1:4">
      <c r="A953" s="12"/>
      <c r="B953" s="12"/>
      <c r="C953" s="12"/>
      <c r="D953" s="12"/>
    </row>
    <row r="954" customHeight="1" spans="1:4">
      <c r="A954" s="12"/>
      <c r="B954" s="12"/>
      <c r="C954" s="12"/>
      <c r="D954" s="12"/>
    </row>
    <row r="955" customHeight="1" spans="1:4">
      <c r="A955" s="12"/>
      <c r="B955" s="12"/>
      <c r="C955" s="12"/>
      <c r="D955" s="12"/>
    </row>
    <row r="956" customHeight="1" spans="1:4">
      <c r="A956" s="12"/>
      <c r="B956" s="12"/>
      <c r="C956" s="12"/>
      <c r="D956" s="12"/>
    </row>
    <row r="957" customHeight="1" spans="1:4">
      <c r="A957" s="12"/>
      <c r="B957" s="12"/>
      <c r="C957" s="12"/>
      <c r="D957" s="12"/>
    </row>
    <row r="958" customHeight="1" spans="1:4">
      <c r="A958" s="12"/>
      <c r="B958" s="12"/>
      <c r="C958" s="12"/>
      <c r="D958" s="12"/>
    </row>
    <row r="959" customHeight="1" spans="1:4">
      <c r="A959" s="12"/>
      <c r="B959" s="12"/>
      <c r="C959" s="12"/>
      <c r="D959" s="12"/>
    </row>
    <row r="960" customHeight="1" spans="1:4">
      <c r="A960" s="12"/>
      <c r="B960" s="12"/>
      <c r="C960" s="12"/>
      <c r="D960" s="12"/>
    </row>
    <row r="961" customHeight="1" spans="1:4">
      <c r="A961" s="12"/>
      <c r="B961" s="12"/>
      <c r="C961" s="12"/>
      <c r="D961" s="12"/>
    </row>
    <row r="962" customHeight="1" spans="1:4">
      <c r="A962" s="12"/>
      <c r="B962" s="12"/>
      <c r="C962" s="12"/>
      <c r="D962" s="12"/>
    </row>
    <row r="963" customHeight="1" spans="1:4">
      <c r="A963" s="12"/>
      <c r="B963" s="12"/>
      <c r="C963" s="12"/>
      <c r="D963" s="12"/>
    </row>
    <row r="964" customHeight="1" spans="1:4">
      <c r="A964" s="12"/>
      <c r="B964" s="12"/>
      <c r="C964" s="12"/>
      <c r="D964" s="12"/>
    </row>
    <row r="965" customHeight="1" spans="1:4">
      <c r="A965" s="12"/>
      <c r="B965" s="12"/>
      <c r="C965" s="12"/>
      <c r="D965" s="12"/>
    </row>
    <row r="966" customHeight="1" spans="1:4">
      <c r="A966" s="12"/>
      <c r="B966" s="12"/>
      <c r="C966" s="12"/>
      <c r="D966" s="12"/>
    </row>
    <row r="967" customHeight="1" spans="1:4">
      <c r="A967" s="12"/>
      <c r="B967" s="12"/>
      <c r="C967" s="12"/>
      <c r="D967" s="12"/>
    </row>
    <row r="968" customHeight="1" spans="1:4">
      <c r="A968" s="12"/>
      <c r="B968" s="12"/>
      <c r="C968" s="12"/>
      <c r="D968" s="12"/>
    </row>
    <row r="969" customHeight="1" spans="1:4">
      <c r="A969" s="12"/>
      <c r="B969" s="12"/>
      <c r="C969" s="12"/>
      <c r="D969" s="12"/>
    </row>
    <row r="970" customHeight="1" spans="1:4">
      <c r="A970" s="12"/>
      <c r="B970" s="12"/>
      <c r="C970" s="12"/>
      <c r="D970" s="12"/>
    </row>
    <row r="971" customHeight="1" spans="1:4">
      <c r="A971" s="12"/>
      <c r="B971" s="12"/>
      <c r="C971" s="12"/>
      <c r="D971" s="12"/>
    </row>
    <row r="972" customHeight="1" spans="1:4">
      <c r="A972" s="12"/>
      <c r="B972" s="12"/>
      <c r="C972" s="12"/>
      <c r="D972" s="12"/>
    </row>
    <row r="973" customHeight="1" spans="1:4">
      <c r="A973" s="12"/>
      <c r="B973" s="12"/>
      <c r="C973" s="12"/>
      <c r="D973" s="12"/>
    </row>
    <row r="974" customHeight="1" spans="1:4">
      <c r="A974" s="12"/>
      <c r="B974" s="12"/>
      <c r="C974" s="12"/>
      <c r="D974" s="12"/>
    </row>
    <row r="975" customHeight="1" spans="1:4">
      <c r="A975" s="12"/>
      <c r="B975" s="12"/>
      <c r="C975" s="12"/>
      <c r="D975" s="12"/>
    </row>
    <row r="976" customHeight="1" spans="1:4">
      <c r="A976" s="12"/>
      <c r="B976" s="12"/>
      <c r="C976" s="12"/>
      <c r="D976" s="12"/>
    </row>
    <row r="977" customHeight="1" spans="1:4">
      <c r="A977" s="12"/>
      <c r="B977" s="12"/>
      <c r="C977" s="12"/>
      <c r="D977" s="12"/>
    </row>
    <row r="978" customHeight="1" spans="1:4">
      <c r="A978" s="12"/>
      <c r="B978" s="12"/>
      <c r="C978" s="12"/>
      <c r="D978" s="12"/>
    </row>
    <row r="979" customHeight="1" spans="1:4">
      <c r="A979" s="12"/>
      <c r="B979" s="12"/>
      <c r="C979" s="12"/>
      <c r="D979" s="12"/>
    </row>
    <row r="980" customHeight="1" spans="1:4">
      <c r="A980" s="12"/>
      <c r="B980" s="12"/>
      <c r="C980" s="12"/>
      <c r="D980" s="12"/>
    </row>
    <row r="981" customHeight="1" spans="1:4">
      <c r="A981" s="12"/>
      <c r="B981" s="12"/>
      <c r="C981" s="12"/>
      <c r="D981" s="12"/>
    </row>
    <row r="982" customHeight="1" spans="1:4">
      <c r="A982" s="12"/>
      <c r="B982" s="12"/>
      <c r="C982" s="12"/>
      <c r="D982" s="12"/>
    </row>
    <row r="983" customHeight="1" spans="1:4">
      <c r="A983" s="12"/>
      <c r="B983" s="12"/>
      <c r="C983" s="12"/>
      <c r="D983" s="12"/>
    </row>
    <row r="984" customHeight="1" spans="1:4">
      <c r="A984" s="12"/>
      <c r="B984" s="12"/>
      <c r="C984" s="12"/>
      <c r="D984" s="12"/>
    </row>
    <row r="985" customHeight="1" spans="1:4">
      <c r="A985" s="12"/>
      <c r="B985" s="12"/>
      <c r="C985" s="12"/>
      <c r="D985" s="12"/>
    </row>
    <row r="986" customHeight="1" spans="1:4">
      <c r="A986" s="12"/>
      <c r="B986" s="12"/>
      <c r="C986" s="12"/>
      <c r="D986" s="12"/>
    </row>
    <row r="987" customHeight="1" spans="1:4">
      <c r="A987" s="12"/>
      <c r="B987" s="12"/>
      <c r="C987" s="12"/>
      <c r="D987" s="12"/>
    </row>
    <row r="988" customHeight="1" spans="1:4">
      <c r="A988" s="12"/>
      <c r="B988" s="12"/>
      <c r="C988" s="12"/>
      <c r="D988" s="12"/>
    </row>
    <row r="989" customHeight="1" spans="1:4">
      <c r="A989" s="12"/>
      <c r="B989" s="12"/>
      <c r="C989" s="12"/>
      <c r="D989" s="12"/>
    </row>
    <row r="990" customHeight="1" spans="1:4">
      <c r="A990" s="12"/>
      <c r="B990" s="12"/>
      <c r="C990" s="12"/>
      <c r="D990" s="12"/>
    </row>
    <row r="991" customHeight="1" spans="1:4">
      <c r="A991" s="12"/>
      <c r="B991" s="12"/>
      <c r="C991" s="12"/>
      <c r="D991" s="12"/>
    </row>
    <row r="992" customHeight="1" spans="1:4">
      <c r="A992" s="12"/>
      <c r="B992" s="12"/>
      <c r="C992" s="12"/>
      <c r="D992" s="12"/>
    </row>
    <row r="993" customHeight="1" spans="1:4">
      <c r="A993" s="12"/>
      <c r="B993" s="12"/>
      <c r="C993" s="12"/>
      <c r="D993" s="12"/>
    </row>
    <row r="994" customHeight="1" spans="1:4">
      <c r="A994" s="12"/>
      <c r="B994" s="12"/>
      <c r="C994" s="12"/>
      <c r="D994" s="12"/>
    </row>
    <row r="995" customHeight="1" spans="1:4">
      <c r="A995" s="12"/>
      <c r="B995" s="12"/>
      <c r="C995" s="12"/>
      <c r="D995" s="12"/>
    </row>
    <row r="996" customHeight="1" spans="1:4">
      <c r="A996" s="12"/>
      <c r="B996" s="12"/>
      <c r="C996" s="12"/>
      <c r="D996" s="12"/>
    </row>
    <row r="997" customHeight="1" spans="1:4">
      <c r="A997" s="12"/>
      <c r="B997" s="12"/>
      <c r="C997" s="12"/>
      <c r="D997" s="12"/>
    </row>
    <row r="998" customHeight="1" spans="1:4">
      <c r="A998" s="12"/>
      <c r="B998" s="12"/>
      <c r="C998" s="12"/>
      <c r="D998" s="12"/>
    </row>
    <row r="999" customHeight="1" spans="1:4">
      <c r="A999" s="12"/>
      <c r="B999" s="12"/>
      <c r="C999" s="12"/>
      <c r="D999" s="12"/>
    </row>
    <row r="1000" customHeight="1" spans="1:4">
      <c r="A1000" s="12"/>
      <c r="B1000" s="12"/>
      <c r="C1000" s="12"/>
      <c r="D1000" s="12"/>
    </row>
    <row r="1001" customHeight="1" spans="1:4">
      <c r="A1001" s="12"/>
      <c r="B1001" s="12"/>
      <c r="C1001" s="12"/>
      <c r="D1001" s="12"/>
    </row>
    <row r="1002" customHeight="1" spans="1:4">
      <c r="A1002" s="12"/>
      <c r="B1002" s="12"/>
      <c r="C1002" s="12"/>
      <c r="D1002" s="12"/>
    </row>
    <row r="1003" customHeight="1" spans="1:4">
      <c r="A1003" s="12"/>
      <c r="B1003" s="12"/>
      <c r="C1003" s="12"/>
      <c r="D1003" s="12"/>
    </row>
    <row r="1004" customHeight="1" spans="1:4">
      <c r="A1004" s="12"/>
      <c r="B1004" s="12"/>
      <c r="C1004" s="12"/>
      <c r="D1004" s="12"/>
    </row>
    <row r="1005" customHeight="1" spans="1:4">
      <c r="A1005" s="12"/>
      <c r="B1005" s="12"/>
      <c r="C1005" s="12"/>
      <c r="D1005" s="12"/>
    </row>
    <row r="1006" customHeight="1" spans="1:4">
      <c r="A1006" s="12"/>
      <c r="B1006" s="12"/>
      <c r="C1006" s="12"/>
      <c r="D1006" s="12"/>
    </row>
    <row r="1007" customHeight="1" spans="1:4">
      <c r="A1007" s="12"/>
      <c r="B1007" s="12"/>
      <c r="C1007" s="12"/>
      <c r="D1007" s="12"/>
    </row>
    <row r="1008" customHeight="1" spans="1:4">
      <c r="A1008" s="12"/>
      <c r="B1008" s="12"/>
      <c r="C1008" s="12"/>
      <c r="D1008" s="12"/>
    </row>
    <row r="1009" customHeight="1" spans="1:4">
      <c r="A1009" s="12"/>
      <c r="B1009" s="12"/>
      <c r="C1009" s="12"/>
      <c r="D1009" s="12"/>
    </row>
    <row r="1010" customHeight="1" spans="1:4">
      <c r="A1010" s="12"/>
      <c r="B1010" s="12"/>
      <c r="C1010" s="12"/>
      <c r="D1010" s="12"/>
    </row>
    <row r="1011" customHeight="1" spans="1:4">
      <c r="A1011" s="12"/>
      <c r="B1011" s="12"/>
      <c r="C1011" s="12"/>
      <c r="D1011" s="12"/>
    </row>
    <row r="1012" customHeight="1" spans="1:4">
      <c r="A1012" s="12"/>
      <c r="B1012" s="12"/>
      <c r="C1012" s="12"/>
      <c r="D1012" s="12"/>
    </row>
    <row r="1013" customHeight="1" spans="1:4">
      <c r="A1013" s="12"/>
      <c r="B1013" s="12"/>
      <c r="C1013" s="12"/>
      <c r="D1013" s="12"/>
    </row>
    <row r="1014" customHeight="1" spans="1:4">
      <c r="A1014" s="12"/>
      <c r="B1014" s="12"/>
      <c r="C1014" s="12"/>
      <c r="D1014" s="12"/>
    </row>
  </sheetData>
  <mergeCells count="6">
    <mergeCell ref="N1:O1"/>
    <mergeCell ref="N8:O8"/>
    <mergeCell ref="N9:O9"/>
    <mergeCell ref="N10:O10"/>
    <mergeCell ref="N11:O11"/>
    <mergeCell ref="N12:O12"/>
  </mergeCells>
  <conditionalFormatting sqref="P11">
    <cfRule type="cellIs" dxfId="14" priority="4" operator="greaterThan">
      <formula>0</formula>
    </cfRule>
    <cfRule type="cellIs" dxfId="15" priority="5" operator="lessThan">
      <formula>0</formula>
    </cfRule>
  </conditionalFormatting>
  <conditionalFormatting sqref="D2:D28">
    <cfRule type="cellIs" dxfId="16" priority="2" operator="equal">
      <formula>0</formula>
    </cfRule>
    <cfRule type="cellIs" dxfId="17" priority="3" operator="greaterThan">
      <formula>0</formula>
    </cfRule>
  </conditionalFormatting>
  <conditionalFormatting sqref="F2:G28">
    <cfRule type="cellIs" dxfId="18" priority="1" operator="lessThan">
      <formula>0.48</formula>
    </cfRule>
  </conditionalFormatting>
  <pageMargins left="0.75" right="0.75" top="1" bottom="1" header="0.5" footer="0.5"/>
  <headerFooter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3"/>
  <sheetViews>
    <sheetView workbookViewId="0">
      <selection activeCell="A1" sqref="A1"/>
    </sheetView>
  </sheetViews>
  <sheetFormatPr defaultColWidth="11.2166666666667" defaultRowHeight="15.75" customHeight="1"/>
  <cols>
    <col min="3" max="3" width="15.2166666666667" customWidth="1"/>
    <col min="5" max="5" width="15.8916666666667" customWidth="1"/>
    <col min="6" max="6" width="20.2166666666667" customWidth="1"/>
    <col min="7" max="7" width="67.5583333333333" customWidth="1"/>
    <col min="8" max="8" width="66.6666666666667" customWidth="1"/>
    <col min="9" max="9" width="12" customWidth="1"/>
  </cols>
  <sheetData>
    <row r="1" customHeight="1" spans="1:9">
      <c r="A1" s="55" t="s">
        <v>0</v>
      </c>
      <c r="B1" s="55" t="s">
        <v>45</v>
      </c>
      <c r="C1" s="55" t="s">
        <v>2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customHeight="1" spans="1:9">
      <c r="A2" s="11" t="s">
        <v>16</v>
      </c>
      <c r="B2" s="11" t="s">
        <v>52</v>
      </c>
      <c r="C2" s="11" t="s">
        <v>53</v>
      </c>
      <c r="D2" s="11" t="s">
        <v>54</v>
      </c>
      <c r="E2" s="11" t="s">
        <v>55</v>
      </c>
      <c r="F2" s="11" t="s">
        <v>56</v>
      </c>
      <c r="G2" s="11" t="s">
        <v>57</v>
      </c>
      <c r="H2" s="11" t="s">
        <v>58</v>
      </c>
      <c r="I2" s="28">
        <v>43165</v>
      </c>
    </row>
    <row r="3" customHeight="1" spans="1:9">
      <c r="A3" s="11" t="s">
        <v>24</v>
      </c>
      <c r="B3" s="11" t="s">
        <v>52</v>
      </c>
      <c r="C3" s="11" t="s">
        <v>53</v>
      </c>
      <c r="D3" s="11" t="s">
        <v>54</v>
      </c>
      <c r="E3" s="11" t="s">
        <v>59</v>
      </c>
      <c r="F3" s="11" t="s">
        <v>56</v>
      </c>
      <c r="G3" s="11" t="s">
        <v>57</v>
      </c>
      <c r="H3" s="11" t="s">
        <v>60</v>
      </c>
      <c r="I3" s="28">
        <v>43698</v>
      </c>
    </row>
    <row r="4" customHeight="1" spans="1:9">
      <c r="A4" s="11" t="s">
        <v>23</v>
      </c>
      <c r="B4" s="11" t="s">
        <v>52</v>
      </c>
      <c r="C4" s="11" t="s">
        <v>53</v>
      </c>
      <c r="D4" s="11" t="s">
        <v>54</v>
      </c>
      <c r="E4" s="11" t="s">
        <v>61</v>
      </c>
      <c r="F4" s="11" t="s">
        <v>62</v>
      </c>
      <c r="G4" s="11" t="s">
        <v>63</v>
      </c>
      <c r="H4" s="11" t="s">
        <v>64</v>
      </c>
      <c r="I4" s="28">
        <v>43557</v>
      </c>
    </row>
    <row r="5" customHeight="1" spans="1:9">
      <c r="A5" s="11" t="s">
        <v>26</v>
      </c>
      <c r="B5" s="11" t="s">
        <v>52</v>
      </c>
      <c r="C5" s="11" t="s">
        <v>53</v>
      </c>
      <c r="D5" s="11" t="s">
        <v>54</v>
      </c>
      <c r="E5" s="11" t="s">
        <v>65</v>
      </c>
      <c r="F5" s="11" t="s">
        <v>56</v>
      </c>
      <c r="G5" s="11" t="s">
        <v>57</v>
      </c>
      <c r="H5" s="11" t="s">
        <v>66</v>
      </c>
      <c r="I5" s="175">
        <v>41591</v>
      </c>
    </row>
    <row r="6" customHeight="1" spans="1:9">
      <c r="A6" s="11" t="s">
        <v>20</v>
      </c>
      <c r="B6" s="11" t="s">
        <v>52</v>
      </c>
      <c r="C6" s="11" t="s">
        <v>53</v>
      </c>
      <c r="D6" s="11" t="s">
        <v>54</v>
      </c>
      <c r="E6" s="11" t="s">
        <v>67</v>
      </c>
      <c r="F6" s="11" t="s">
        <v>62</v>
      </c>
      <c r="G6" s="11" t="s">
        <v>63</v>
      </c>
      <c r="H6" s="11" t="s">
        <v>68</v>
      </c>
      <c r="I6" s="175">
        <v>43024</v>
      </c>
    </row>
    <row r="7" customHeight="1" spans="1:9">
      <c r="A7" s="11" t="s">
        <v>39</v>
      </c>
      <c r="B7" s="11" t="s">
        <v>52</v>
      </c>
      <c r="C7" s="11" t="s">
        <v>53</v>
      </c>
      <c r="D7" s="11" t="s">
        <v>54</v>
      </c>
      <c r="E7" s="11" t="s">
        <v>69</v>
      </c>
      <c r="F7" s="11" t="s">
        <v>70</v>
      </c>
      <c r="G7" s="11" t="s">
        <v>71</v>
      </c>
      <c r="H7" s="174" t="s">
        <v>72</v>
      </c>
      <c r="I7" s="28">
        <v>43375</v>
      </c>
    </row>
    <row r="8" customHeight="1" spans="1:9">
      <c r="A8" s="11" t="s">
        <v>21</v>
      </c>
      <c r="B8" s="11" t="s">
        <v>52</v>
      </c>
      <c r="C8" s="11" t="s">
        <v>73</v>
      </c>
      <c r="D8" s="11" t="s">
        <v>54</v>
      </c>
      <c r="E8" s="11" t="s">
        <v>74</v>
      </c>
      <c r="F8" s="11" t="s">
        <v>75</v>
      </c>
      <c r="G8" s="11" t="s">
        <v>76</v>
      </c>
      <c r="H8" s="11" t="s">
        <v>77</v>
      </c>
      <c r="I8" s="28">
        <v>39574</v>
      </c>
    </row>
    <row r="9" customHeight="1" spans="1:9">
      <c r="A9" s="11" t="s">
        <v>28</v>
      </c>
      <c r="B9" s="11" t="s">
        <v>52</v>
      </c>
      <c r="C9" s="11" t="s">
        <v>73</v>
      </c>
      <c r="D9" s="11" t="s">
        <v>54</v>
      </c>
      <c r="E9" s="11" t="s">
        <v>78</v>
      </c>
      <c r="F9" s="11" t="s">
        <v>62</v>
      </c>
      <c r="G9" s="11" t="s">
        <v>63</v>
      </c>
      <c r="H9" s="11" t="s">
        <v>79</v>
      </c>
      <c r="I9" s="28">
        <v>41479</v>
      </c>
    </row>
    <row r="10" customHeight="1" spans="1:9">
      <c r="A10" s="11" t="s">
        <v>15</v>
      </c>
      <c r="B10" s="11" t="s">
        <v>52</v>
      </c>
      <c r="C10" s="11" t="s">
        <v>80</v>
      </c>
      <c r="D10" s="11" t="s">
        <v>54</v>
      </c>
      <c r="E10" s="12" t="s">
        <v>81</v>
      </c>
      <c r="F10" s="11" t="s">
        <v>75</v>
      </c>
      <c r="G10" s="11" t="s">
        <v>76</v>
      </c>
      <c r="H10" s="11" t="s">
        <v>77</v>
      </c>
      <c r="I10" s="28">
        <v>40304</v>
      </c>
    </row>
    <row r="11" customHeight="1" spans="1:9">
      <c r="A11" s="11" t="s">
        <v>29</v>
      </c>
      <c r="B11" s="11" t="s">
        <v>52</v>
      </c>
      <c r="C11" s="11" t="s">
        <v>80</v>
      </c>
      <c r="D11" s="11" t="s">
        <v>54</v>
      </c>
      <c r="E11" s="11" t="s">
        <v>82</v>
      </c>
      <c r="F11" s="11" t="s">
        <v>83</v>
      </c>
      <c r="G11" s="11" t="s">
        <v>84</v>
      </c>
      <c r="H11" s="11" t="s">
        <v>85</v>
      </c>
      <c r="I11" s="28">
        <v>42564</v>
      </c>
    </row>
    <row r="12" customHeight="1" spans="1:9">
      <c r="A12" s="11" t="s">
        <v>13</v>
      </c>
      <c r="B12" s="11" t="s">
        <v>52</v>
      </c>
      <c r="C12" s="11" t="s">
        <v>80</v>
      </c>
      <c r="D12" s="11" t="s">
        <v>54</v>
      </c>
      <c r="E12" s="11" t="s">
        <v>86</v>
      </c>
      <c r="F12" s="174" t="s">
        <v>56</v>
      </c>
      <c r="G12" s="11" t="s">
        <v>57</v>
      </c>
      <c r="H12" s="11" t="s">
        <v>87</v>
      </c>
      <c r="I12" s="28">
        <v>43413</v>
      </c>
    </row>
    <row r="13" customHeight="1" spans="1:9">
      <c r="A13" s="11" t="s">
        <v>30</v>
      </c>
      <c r="B13" s="11" t="s">
        <v>52</v>
      </c>
      <c r="C13" s="11" t="s">
        <v>80</v>
      </c>
      <c r="D13" s="11" t="s">
        <v>54</v>
      </c>
      <c r="E13" s="11" t="s">
        <v>88</v>
      </c>
      <c r="F13" s="174" t="s">
        <v>56</v>
      </c>
      <c r="G13" s="11" t="s">
        <v>57</v>
      </c>
      <c r="H13" s="11" t="s">
        <v>89</v>
      </c>
      <c r="I13" s="28">
        <v>40396</v>
      </c>
    </row>
    <row r="14" customHeight="1" spans="1:9">
      <c r="A14" s="11" t="s">
        <v>35</v>
      </c>
      <c r="B14" s="11" t="s">
        <v>52</v>
      </c>
      <c r="C14" s="11" t="s">
        <v>90</v>
      </c>
      <c r="D14" s="11" t="s">
        <v>54</v>
      </c>
      <c r="E14" s="11" t="s">
        <v>91</v>
      </c>
      <c r="F14" s="11" t="s">
        <v>92</v>
      </c>
      <c r="G14" s="11" t="s">
        <v>93</v>
      </c>
      <c r="H14" s="11" t="s">
        <v>94</v>
      </c>
      <c r="I14" s="28">
        <v>40885</v>
      </c>
    </row>
    <row r="15" customHeight="1" spans="1:9">
      <c r="A15" s="11" t="s">
        <v>18</v>
      </c>
      <c r="B15" s="11" t="s">
        <v>52</v>
      </c>
      <c r="C15" s="11" t="s">
        <v>95</v>
      </c>
      <c r="D15" s="11" t="s">
        <v>54</v>
      </c>
      <c r="E15" s="12" t="s">
        <v>96</v>
      </c>
      <c r="F15" s="11" t="s">
        <v>70</v>
      </c>
      <c r="G15" s="11" t="s">
        <v>71</v>
      </c>
      <c r="H15" s="174" t="s">
        <v>97</v>
      </c>
      <c r="I15" s="28">
        <v>43235</v>
      </c>
    </row>
    <row r="16" customHeight="1" spans="1:9">
      <c r="A16" s="11" t="s">
        <v>22</v>
      </c>
      <c r="B16" s="11" t="s">
        <v>52</v>
      </c>
      <c r="C16" s="11" t="s">
        <v>95</v>
      </c>
      <c r="D16" s="11" t="s">
        <v>54</v>
      </c>
      <c r="E16" s="11" t="s">
        <v>98</v>
      </c>
      <c r="F16" s="11" t="s">
        <v>99</v>
      </c>
      <c r="G16" s="11" t="s">
        <v>100</v>
      </c>
      <c r="H16" s="11" t="s">
        <v>101</v>
      </c>
      <c r="I16" s="28">
        <v>41339</v>
      </c>
    </row>
    <row r="17" customHeight="1" spans="1:9">
      <c r="A17" s="11" t="s">
        <v>27</v>
      </c>
      <c r="B17" s="11" t="s">
        <v>52</v>
      </c>
      <c r="C17" s="11" t="s">
        <v>102</v>
      </c>
      <c r="D17" s="11" t="s">
        <v>54</v>
      </c>
      <c r="E17" s="11" t="s">
        <v>103</v>
      </c>
      <c r="F17" s="174" t="s">
        <v>104</v>
      </c>
      <c r="G17" s="11" t="s">
        <v>105</v>
      </c>
      <c r="H17" s="11" t="s">
        <v>106</v>
      </c>
      <c r="I17" s="28">
        <v>44106</v>
      </c>
    </row>
    <row r="18" customHeight="1" spans="1:9">
      <c r="A18" s="11" t="s">
        <v>107</v>
      </c>
      <c r="B18" s="11" t="s">
        <v>52</v>
      </c>
      <c r="C18" s="11" t="s">
        <v>102</v>
      </c>
      <c r="D18" s="11" t="s">
        <v>54</v>
      </c>
      <c r="E18" s="11" t="s">
        <v>108</v>
      </c>
      <c r="F18" s="11" t="s">
        <v>56</v>
      </c>
      <c r="G18" s="11" t="s">
        <v>57</v>
      </c>
      <c r="H18" s="11" t="s">
        <v>109</v>
      </c>
      <c r="I18" s="28">
        <v>43608</v>
      </c>
    </row>
    <row r="19" customHeight="1" spans="1:9">
      <c r="A19" s="11" t="s">
        <v>33</v>
      </c>
      <c r="B19" s="11" t="s">
        <v>110</v>
      </c>
      <c r="C19" s="11" t="s">
        <v>111</v>
      </c>
      <c r="D19" s="11" t="s">
        <v>54</v>
      </c>
      <c r="E19" s="11" t="s">
        <v>112</v>
      </c>
      <c r="F19" s="11" t="s">
        <v>56</v>
      </c>
      <c r="G19" s="11" t="s">
        <v>57</v>
      </c>
      <c r="H19" s="11" t="s">
        <v>113</v>
      </c>
      <c r="I19" s="28">
        <v>44225</v>
      </c>
    </row>
    <row r="20" customHeight="1" spans="1:9">
      <c r="A20" s="11" t="s">
        <v>114</v>
      </c>
      <c r="B20" s="11" t="s">
        <v>52</v>
      </c>
      <c r="C20" s="11" t="s">
        <v>115</v>
      </c>
      <c r="D20" s="11" t="s">
        <v>116</v>
      </c>
      <c r="E20" s="11" t="s">
        <v>117</v>
      </c>
      <c r="F20" s="11" t="s">
        <v>56</v>
      </c>
      <c r="G20" s="11" t="s">
        <v>57</v>
      </c>
      <c r="H20" s="174" t="s">
        <v>118</v>
      </c>
      <c r="I20" s="28">
        <v>43186</v>
      </c>
    </row>
    <row r="21" customHeight="1" spans="1:9">
      <c r="A21" s="11" t="s">
        <v>119</v>
      </c>
      <c r="B21" s="11" t="s">
        <v>52</v>
      </c>
      <c r="C21" s="11" t="s">
        <v>115</v>
      </c>
      <c r="D21" s="11" t="s">
        <v>116</v>
      </c>
      <c r="E21" s="11" t="s">
        <v>120</v>
      </c>
      <c r="F21" s="11" t="s">
        <v>121</v>
      </c>
      <c r="G21" s="11" t="s">
        <v>122</v>
      </c>
      <c r="H21" s="11" t="s">
        <v>123</v>
      </c>
      <c r="I21" s="28">
        <v>41463</v>
      </c>
    </row>
    <row r="22" customHeight="1" spans="1:9">
      <c r="A22" s="11" t="s">
        <v>124</v>
      </c>
      <c r="B22" s="11" t="s">
        <v>52</v>
      </c>
      <c r="C22" s="11" t="s">
        <v>73</v>
      </c>
      <c r="D22" s="11" t="s">
        <v>116</v>
      </c>
      <c r="E22" s="11" t="s">
        <v>125</v>
      </c>
      <c r="F22" s="174" t="s">
        <v>126</v>
      </c>
      <c r="G22" s="11" t="s">
        <v>127</v>
      </c>
      <c r="H22" s="11" t="s">
        <v>128</v>
      </c>
      <c r="I22" s="28">
        <v>41334</v>
      </c>
    </row>
    <row r="23" customHeight="1" spans="1:9">
      <c r="A23" s="11" t="s">
        <v>129</v>
      </c>
      <c r="B23" s="11" t="s">
        <v>52</v>
      </c>
      <c r="C23" s="11" t="s">
        <v>130</v>
      </c>
      <c r="D23" s="11" t="s">
        <v>116</v>
      </c>
      <c r="E23" s="11" t="s">
        <v>131</v>
      </c>
      <c r="F23" s="11" t="s">
        <v>62</v>
      </c>
      <c r="G23" s="11" t="s">
        <v>63</v>
      </c>
      <c r="H23" s="11" t="s">
        <v>132</v>
      </c>
      <c r="I23" s="175">
        <v>41954</v>
      </c>
    </row>
    <row r="24" customHeight="1" spans="1:9">
      <c r="A24" s="11" t="s">
        <v>133</v>
      </c>
      <c r="B24" s="11" t="s">
        <v>52</v>
      </c>
      <c r="C24" s="11" t="s">
        <v>80</v>
      </c>
      <c r="D24" s="11" t="s">
        <v>116</v>
      </c>
      <c r="E24" s="11" t="s">
        <v>134</v>
      </c>
      <c r="F24" s="11" t="s">
        <v>135</v>
      </c>
      <c r="G24" s="11" t="s">
        <v>136</v>
      </c>
      <c r="H24" s="11" t="s">
        <v>137</v>
      </c>
      <c r="I24" s="175">
        <v>43084</v>
      </c>
    </row>
    <row r="25" customHeight="1" spans="1:9">
      <c r="A25" s="11" t="s">
        <v>138</v>
      </c>
      <c r="B25" s="11" t="s">
        <v>52</v>
      </c>
      <c r="C25" s="11" t="s">
        <v>139</v>
      </c>
      <c r="D25" s="11" t="s">
        <v>116</v>
      </c>
      <c r="E25" s="11" t="s">
        <v>140</v>
      </c>
      <c r="F25" s="11" t="s">
        <v>141</v>
      </c>
      <c r="G25" s="11" t="s">
        <v>142</v>
      </c>
      <c r="H25" s="11" t="s">
        <v>143</v>
      </c>
      <c r="I25" s="175">
        <v>43091</v>
      </c>
    </row>
    <row r="26" customHeight="1" spans="1:9">
      <c r="A26" s="11" t="s">
        <v>37</v>
      </c>
      <c r="B26" s="11" t="s">
        <v>52</v>
      </c>
      <c r="C26" s="11" t="s">
        <v>139</v>
      </c>
      <c r="D26" s="11" t="s">
        <v>54</v>
      </c>
      <c r="E26" s="11" t="s">
        <v>144</v>
      </c>
      <c r="F26" s="11" t="s">
        <v>121</v>
      </c>
      <c r="G26" s="11" t="s">
        <v>122</v>
      </c>
      <c r="H26" s="174" t="s">
        <v>145</v>
      </c>
      <c r="I26" s="175">
        <v>39079</v>
      </c>
    </row>
    <row r="27" customHeight="1" spans="1:9">
      <c r="A27" s="11" t="s">
        <v>146</v>
      </c>
      <c r="B27" s="11" t="s">
        <v>52</v>
      </c>
      <c r="C27" s="11" t="s">
        <v>73</v>
      </c>
      <c r="D27" s="11" t="s">
        <v>116</v>
      </c>
      <c r="E27" s="11" t="s">
        <v>147</v>
      </c>
      <c r="F27" s="11" t="s">
        <v>62</v>
      </c>
      <c r="G27" s="11" t="s">
        <v>63</v>
      </c>
      <c r="H27" s="11" t="s">
        <v>148</v>
      </c>
      <c r="I27" s="28">
        <v>43846</v>
      </c>
    </row>
    <row r="28" customHeight="1" spans="1:9">
      <c r="A28" s="11" t="s">
        <v>149</v>
      </c>
      <c r="B28" s="11" t="s">
        <v>52</v>
      </c>
      <c r="C28" s="11" t="s">
        <v>150</v>
      </c>
      <c r="D28" s="11" t="s">
        <v>116</v>
      </c>
      <c r="E28" s="11" t="s">
        <v>151</v>
      </c>
      <c r="F28" s="11" t="s">
        <v>92</v>
      </c>
      <c r="G28" s="11" t="s">
        <v>93</v>
      </c>
      <c r="H28" s="174" t="s">
        <v>152</v>
      </c>
      <c r="I28" s="28">
        <v>41214</v>
      </c>
    </row>
    <row r="29" customHeight="1" spans="1:9">
      <c r="A29" s="11" t="s">
        <v>153</v>
      </c>
      <c r="B29" s="11" t="s">
        <v>52</v>
      </c>
      <c r="C29" s="11" t="s">
        <v>150</v>
      </c>
      <c r="D29" s="11" t="s">
        <v>116</v>
      </c>
      <c r="E29" s="11" t="s">
        <v>154</v>
      </c>
      <c r="F29" s="11" t="s">
        <v>135</v>
      </c>
      <c r="G29" s="11" t="s">
        <v>136</v>
      </c>
      <c r="H29" s="11" t="s">
        <v>155</v>
      </c>
      <c r="I29" s="28">
        <v>41144</v>
      </c>
    </row>
    <row r="30" customHeight="1" spans="1:9">
      <c r="A30" s="11" t="s">
        <v>156</v>
      </c>
      <c r="B30" s="11" t="s">
        <v>52</v>
      </c>
      <c r="C30" s="11" t="s">
        <v>53</v>
      </c>
      <c r="D30" s="11" t="s">
        <v>116</v>
      </c>
      <c r="E30" s="11" t="s">
        <v>157</v>
      </c>
      <c r="F30" s="11" t="s">
        <v>75</v>
      </c>
      <c r="G30" s="11" t="s">
        <v>76</v>
      </c>
      <c r="H30" s="11" t="s">
        <v>158</v>
      </c>
      <c r="I30" s="175">
        <v>40169</v>
      </c>
    </row>
    <row r="31" customHeight="1" spans="1:9">
      <c r="A31" s="11" t="s">
        <v>159</v>
      </c>
      <c r="B31" s="11" t="s">
        <v>52</v>
      </c>
      <c r="C31" s="11" t="s">
        <v>150</v>
      </c>
      <c r="D31" s="11" t="s">
        <v>116</v>
      </c>
      <c r="E31" s="11" t="s">
        <v>160</v>
      </c>
      <c r="F31" s="11" t="s">
        <v>92</v>
      </c>
      <c r="G31" s="11" t="s">
        <v>93</v>
      </c>
      <c r="H31" s="11" t="s">
        <v>161</v>
      </c>
      <c r="I31" s="175">
        <v>41269</v>
      </c>
    </row>
    <row r="32" customHeight="1" spans="1:9">
      <c r="A32" s="11" t="s">
        <v>42</v>
      </c>
      <c r="B32" s="11" t="s">
        <v>52</v>
      </c>
      <c r="C32" s="11" t="s">
        <v>73</v>
      </c>
      <c r="D32" s="11" t="s">
        <v>54</v>
      </c>
      <c r="E32" s="11" t="s">
        <v>162</v>
      </c>
      <c r="F32" s="11" t="s">
        <v>56</v>
      </c>
      <c r="G32" s="11" t="s">
        <v>57</v>
      </c>
      <c r="H32" s="11" t="s">
        <v>163</v>
      </c>
      <c r="I32" s="28">
        <v>44034</v>
      </c>
    </row>
    <row r="33" customHeight="1" spans="1:9">
      <c r="A33" s="11" t="s">
        <v>38</v>
      </c>
      <c r="B33" s="11" t="s">
        <v>52</v>
      </c>
      <c r="C33" s="11" t="s">
        <v>164</v>
      </c>
      <c r="D33" s="11" t="s">
        <v>54</v>
      </c>
      <c r="E33" s="11" t="s">
        <v>165</v>
      </c>
      <c r="F33" s="11" t="s">
        <v>166</v>
      </c>
      <c r="G33" s="11" t="s">
        <v>167</v>
      </c>
      <c r="H33" s="11" t="s">
        <v>168</v>
      </c>
      <c r="I33" s="28">
        <v>44253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1"/>
  <sheetViews>
    <sheetView showGridLines="0" workbookViewId="0">
      <selection activeCell="A1" sqref="A1"/>
    </sheetView>
  </sheetViews>
  <sheetFormatPr defaultColWidth="11.2166666666667" defaultRowHeight="15.75" customHeight="1"/>
  <cols>
    <col min="1" max="1" width="10.5583333333333" customWidth="1"/>
    <col min="2" max="2" width="17.3333333333333" customWidth="1"/>
    <col min="3" max="3" width="21.6666666666667" customWidth="1"/>
    <col min="4" max="4" width="8.55833333333333" customWidth="1"/>
    <col min="5" max="5" width="15.6666666666667" customWidth="1"/>
    <col min="6" max="6" width="9.44166666666667" customWidth="1"/>
    <col min="7" max="7" width="8.55833333333333" customWidth="1"/>
    <col min="8" max="8" width="15" customWidth="1"/>
    <col min="9" max="9" width="11.3333333333333" customWidth="1"/>
    <col min="10" max="10" width="11.8916666666667" customWidth="1"/>
    <col min="11" max="11" width="12.6666666666667" customWidth="1"/>
    <col min="12" max="12" width="12.5583333333333" customWidth="1"/>
  </cols>
  <sheetData>
    <row r="1" ht="30" spans="1:12">
      <c r="A1" s="162" t="s">
        <v>169</v>
      </c>
      <c r="B1" s="162" t="s">
        <v>170</v>
      </c>
      <c r="C1" s="162" t="s">
        <v>171</v>
      </c>
      <c r="D1" s="162" t="s">
        <v>172</v>
      </c>
      <c r="E1" s="162" t="s">
        <v>173</v>
      </c>
      <c r="F1" s="163" t="s">
        <v>174</v>
      </c>
      <c r="G1" s="163" t="s">
        <v>175</v>
      </c>
      <c r="H1" s="162" t="s">
        <v>176</v>
      </c>
      <c r="I1" s="162" t="s">
        <v>177</v>
      </c>
      <c r="J1" s="162" t="s">
        <v>178</v>
      </c>
      <c r="K1" s="162" t="s">
        <v>179</v>
      </c>
      <c r="L1" s="163" t="s">
        <v>180</v>
      </c>
    </row>
    <row r="2" ht="15" spans="1:12">
      <c r="A2" s="164" t="s">
        <v>181</v>
      </c>
      <c r="B2" s="165" t="s">
        <v>182</v>
      </c>
      <c r="C2" s="166">
        <v>2652272891</v>
      </c>
      <c r="D2" s="167">
        <v>51</v>
      </c>
      <c r="E2" s="167" t="s">
        <v>183</v>
      </c>
      <c r="F2" s="168">
        <v>0.0111</v>
      </c>
      <c r="G2" s="167" t="s">
        <v>184</v>
      </c>
      <c r="H2" s="167" t="s">
        <v>185</v>
      </c>
      <c r="I2" s="166">
        <v>134.96</v>
      </c>
      <c r="J2" s="172">
        <f>IFERROR(__xludf.DUMMYFUNCTION("GOOGLEFINANCE(A2)"),121)</f>
        <v>121</v>
      </c>
      <c r="K2" s="168">
        <f>IFERROR(__xludf.DUMMYFUNCTION("GOOGLEFINANCE(A2,""CHANGE"")/100"),0)</f>
        <v>0</v>
      </c>
      <c r="L2" s="173">
        <v>6.5</v>
      </c>
    </row>
    <row r="3" ht="15" spans="1:12">
      <c r="A3" s="164" t="s">
        <v>36</v>
      </c>
      <c r="B3" s="165" t="s">
        <v>186</v>
      </c>
      <c r="C3" s="169">
        <v>1139808717.73</v>
      </c>
      <c r="D3" s="167">
        <v>38</v>
      </c>
      <c r="E3" s="167" t="s">
        <v>187</v>
      </c>
      <c r="F3" s="168">
        <v>0.0075</v>
      </c>
      <c r="G3" s="170">
        <v>0.2</v>
      </c>
      <c r="H3" s="167" t="s">
        <v>188</v>
      </c>
      <c r="I3" s="166">
        <v>88.38</v>
      </c>
      <c r="J3" s="172">
        <f>IFERROR(__xludf.DUMMYFUNCTION("GOOGLEFINANCE(A3)"),74.3)</f>
        <v>74.3</v>
      </c>
      <c r="K3" s="168">
        <f>IFERROR(__xludf.DUMMYFUNCTION("GOOGLEFINANCE(A3,""CHANGE"")/100"),0)</f>
        <v>0</v>
      </c>
      <c r="L3" s="173">
        <v>6.7</v>
      </c>
    </row>
    <row r="4" ht="17.25" customHeight="1" spans="1:12">
      <c r="A4" s="164" t="s">
        <v>43</v>
      </c>
      <c r="B4" s="165" t="s">
        <v>189</v>
      </c>
      <c r="C4" s="166">
        <v>1100000000</v>
      </c>
      <c r="D4" s="167">
        <v>76</v>
      </c>
      <c r="E4" s="167" t="s">
        <v>190</v>
      </c>
      <c r="F4" s="168">
        <v>0.01</v>
      </c>
      <c r="G4" s="167" t="s">
        <v>185</v>
      </c>
      <c r="H4" s="167" t="s">
        <v>185</v>
      </c>
      <c r="I4" s="166">
        <v>101.94</v>
      </c>
      <c r="J4" s="172">
        <f>IFERROR(__xludf.DUMMYFUNCTION("GOOGLEFINANCE(A4)"),93.58)</f>
        <v>93.58</v>
      </c>
      <c r="K4" s="168">
        <f>IFERROR(__xludf.DUMMYFUNCTION("GOOGLEFINANCE(A4,""CHANGE"")/100"),0)</f>
        <v>0</v>
      </c>
      <c r="L4" s="173">
        <v>2.2</v>
      </c>
    </row>
    <row r="5" ht="15" spans="1:12">
      <c r="A5" s="164" t="s">
        <v>191</v>
      </c>
      <c r="B5" s="165" t="s">
        <v>192</v>
      </c>
      <c r="C5" s="166">
        <v>1015000000</v>
      </c>
      <c r="D5" s="167">
        <v>24</v>
      </c>
      <c r="E5" s="167" t="s">
        <v>193</v>
      </c>
      <c r="F5" s="168">
        <v>0.0085</v>
      </c>
      <c r="G5" s="167" t="s">
        <v>184</v>
      </c>
      <c r="H5" s="167" t="s">
        <v>185</v>
      </c>
      <c r="I5" s="166">
        <v>103.4</v>
      </c>
      <c r="J5" s="172">
        <f>IFERROR(__xludf.DUMMYFUNCTION("GOOGLEFINANCE(A5)"),92.59)</f>
        <v>92.59</v>
      </c>
      <c r="K5" s="168">
        <f>IFERROR(__xludf.DUMMYFUNCTION("GOOGLEFINANCE(A5,""CHANGE"")/100"),0)</f>
        <v>0</v>
      </c>
      <c r="L5" s="173">
        <v>6.71</v>
      </c>
    </row>
    <row r="6" ht="15" spans="1:12">
      <c r="A6" s="164" t="s">
        <v>33</v>
      </c>
      <c r="B6" s="165" t="s">
        <v>194</v>
      </c>
      <c r="C6" s="166">
        <v>734315862</v>
      </c>
      <c r="D6" s="167">
        <v>51</v>
      </c>
      <c r="E6" s="167" t="s">
        <v>195</v>
      </c>
      <c r="F6" s="168">
        <v>0.01</v>
      </c>
      <c r="G6" s="167" t="s">
        <v>184</v>
      </c>
      <c r="H6" s="167" t="s">
        <v>185</v>
      </c>
      <c r="I6" s="166">
        <v>98.92</v>
      </c>
      <c r="J6" s="172">
        <f>IFERROR(__xludf.DUMMYFUNCTION("GOOGLEFINANCE(A6)"),85.3)</f>
        <v>85.3</v>
      </c>
      <c r="K6" s="168">
        <f>IFERROR(__xludf.DUMMYFUNCTION("GOOGLEFINANCE(A6,""CHANGE"")/100"),0)</f>
        <v>0</v>
      </c>
      <c r="L6" s="173">
        <v>4.56</v>
      </c>
    </row>
    <row r="7" ht="15" spans="1:12">
      <c r="A7" s="164" t="s">
        <v>196</v>
      </c>
      <c r="B7" s="165" t="s">
        <v>197</v>
      </c>
      <c r="C7" s="166">
        <v>309538000</v>
      </c>
      <c r="D7" s="167">
        <v>6</v>
      </c>
      <c r="E7" s="167" t="s">
        <v>198</v>
      </c>
      <c r="F7" s="168">
        <v>0.0095</v>
      </c>
      <c r="G7" s="167" t="s">
        <v>185</v>
      </c>
      <c r="H7" s="167" t="s">
        <v>185</v>
      </c>
      <c r="I7" s="166">
        <v>97.79</v>
      </c>
      <c r="J7" s="172">
        <f>IFERROR(__xludf.DUMMYFUNCTION("GOOGLEFINANCE(A7)"),54.52)</f>
        <v>54.52</v>
      </c>
      <c r="K7" s="168">
        <f>IFERROR(__xludf.DUMMYFUNCTION("GOOGLEFINANCE(A7,""CHANGE"")/100"),0)</f>
        <v>0</v>
      </c>
      <c r="L7" s="173">
        <v>6.2</v>
      </c>
    </row>
    <row r="8" ht="15" spans="1:12">
      <c r="A8" s="164" t="s">
        <v>40</v>
      </c>
      <c r="B8" s="165" t="s">
        <v>199</v>
      </c>
      <c r="C8" s="166">
        <v>284000000</v>
      </c>
      <c r="D8" s="167">
        <v>16</v>
      </c>
      <c r="E8" s="167" t="s">
        <v>200</v>
      </c>
      <c r="F8" s="168">
        <v>0.009</v>
      </c>
      <c r="G8" s="170">
        <v>0.2</v>
      </c>
      <c r="H8" s="167" t="s">
        <v>188</v>
      </c>
      <c r="I8" s="166">
        <v>9.18</v>
      </c>
      <c r="J8" s="172">
        <f>IFERROR(__xludf.DUMMYFUNCTION("IF(GOOGLEFINANCE(A8)="""",0,GOOGLEFINANCE(A8))"),7.22)</f>
        <v>7.22</v>
      </c>
      <c r="K8" s="168">
        <f>IFERROR(__xludf.DUMMYFUNCTION("GOOGLEFINANCE(A8,""CHANGE"")"),0)</f>
        <v>0</v>
      </c>
      <c r="L8" s="173">
        <v>6.6</v>
      </c>
    </row>
    <row r="9" ht="15" spans="1:12">
      <c r="A9" s="164" t="s">
        <v>41</v>
      </c>
      <c r="B9" s="165" t="s">
        <v>201</v>
      </c>
      <c r="C9" s="166">
        <v>190000000</v>
      </c>
      <c r="D9" s="167">
        <v>42</v>
      </c>
      <c r="E9" s="167" t="s">
        <v>202</v>
      </c>
      <c r="F9" s="168">
        <v>0.008</v>
      </c>
      <c r="G9" s="167" t="s">
        <v>184</v>
      </c>
      <c r="H9" s="167" t="s">
        <v>185</v>
      </c>
      <c r="I9" s="166">
        <v>90.12</v>
      </c>
      <c r="J9" s="172">
        <f>IFERROR(__xludf.DUMMYFUNCTION("GOOGLEFINANCE(A9)"),75.49)</f>
        <v>75.49</v>
      </c>
      <c r="K9" s="168">
        <f>IFERROR(__xludf.DUMMYFUNCTION("GOOGLEFINANCE(A9,""CHANGE"")/100"),0)</f>
        <v>0</v>
      </c>
      <c r="L9" s="173">
        <v>5.3</v>
      </c>
    </row>
    <row r="10" ht="15" spans="1:12">
      <c r="A10" s="164" t="s">
        <v>203</v>
      </c>
      <c r="B10" s="165" t="s">
        <v>204</v>
      </c>
      <c r="C10" s="166">
        <v>60700000</v>
      </c>
      <c r="D10" s="167">
        <v>21</v>
      </c>
      <c r="E10" s="167" t="s">
        <v>205</v>
      </c>
      <c r="F10" s="168">
        <v>0.0085</v>
      </c>
      <c r="G10" s="167" t="s">
        <v>185</v>
      </c>
      <c r="H10" s="167" t="s">
        <v>185</v>
      </c>
      <c r="I10" s="166">
        <v>96.74</v>
      </c>
      <c r="J10" s="172">
        <f>IFERROR(__xludf.DUMMYFUNCTION("GOOGLEFINANCE(A10)"),71.58)</f>
        <v>71.58</v>
      </c>
      <c r="K10" s="168">
        <f>IFERROR(__xludf.DUMMYFUNCTION("GOOGLEFINANCE(A10,""CHANGE"")/100"),0.0092)</f>
        <v>0.0092</v>
      </c>
      <c r="L10" s="173">
        <v>4.4</v>
      </c>
    </row>
    <row r="11" ht="15" spans="1:12">
      <c r="A11" s="164" t="s">
        <v>206</v>
      </c>
      <c r="B11" s="165" t="s">
        <v>207</v>
      </c>
      <c r="C11" s="166">
        <v>46110295.92</v>
      </c>
      <c r="D11" s="167">
        <v>25</v>
      </c>
      <c r="E11" s="171"/>
      <c r="F11" s="171"/>
      <c r="G11" s="171"/>
      <c r="H11" s="171"/>
      <c r="I11" s="166">
        <v>9.85</v>
      </c>
      <c r="J11" s="172">
        <f>IFERROR(__xludf.DUMMYFUNCTION("GOOGLEFINANCE(A11)"),9.12)</f>
        <v>9.12</v>
      </c>
      <c r="K11" s="168">
        <f>IFERROR(__xludf.DUMMYFUNCTION("GOOGLEFINANCE(A11,""CHANGE"")/100"),0)</f>
        <v>0</v>
      </c>
      <c r="L11" s="167">
        <v>4.7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6"/>
  <sheetViews>
    <sheetView workbookViewId="0">
      <selection activeCell="A1" sqref="A1:H1"/>
    </sheetView>
  </sheetViews>
  <sheetFormatPr defaultColWidth="11.2166666666667" defaultRowHeight="15.75" customHeight="1"/>
  <cols>
    <col min="2" max="2" width="12.4416666666667" customWidth="1"/>
  </cols>
  <sheetData>
    <row r="1" customHeight="1" spans="1:11">
      <c r="A1" s="142" t="s">
        <v>208</v>
      </c>
      <c r="I1" s="156"/>
      <c r="J1" s="156"/>
      <c r="K1" s="156"/>
    </row>
    <row r="2" customHeight="1" spans="1:11">
      <c r="A2" s="143" t="s">
        <v>169</v>
      </c>
      <c r="B2" s="143" t="s">
        <v>209</v>
      </c>
      <c r="C2" s="143" t="s">
        <v>8</v>
      </c>
      <c r="D2" s="143" t="s">
        <v>210</v>
      </c>
      <c r="E2" s="143" t="s">
        <v>211</v>
      </c>
      <c r="F2" s="144" t="s">
        <v>212</v>
      </c>
      <c r="G2" s="145" t="s">
        <v>213</v>
      </c>
      <c r="H2" s="146" t="s">
        <v>214</v>
      </c>
      <c r="I2" s="157" t="s">
        <v>215</v>
      </c>
      <c r="J2" s="157" t="s">
        <v>216</v>
      </c>
      <c r="K2" s="157"/>
    </row>
    <row r="3" customHeight="1" spans="1:11">
      <c r="A3" s="147" t="s">
        <v>27</v>
      </c>
      <c r="B3" s="148">
        <v>772.5</v>
      </c>
      <c r="C3" s="149">
        <f t="shared" ref="C3:C23" si="0">IF(B$24&gt;0,B3/B$24,0)</f>
        <v>0.528928449161246</v>
      </c>
      <c r="D3" s="150">
        <f t="shared" ref="D3:D23" si="1">$G$3*C3</f>
        <v>0.0370249914412872</v>
      </c>
      <c r="E3" s="150">
        <f t="shared" ref="E3:E23" si="2">$H$3*C3</f>
        <v>0.190414241698049</v>
      </c>
      <c r="F3" s="148">
        <v>0.01</v>
      </c>
      <c r="G3" s="151">
        <v>0.07</v>
      </c>
      <c r="H3" s="151">
        <v>0.36</v>
      </c>
      <c r="I3" s="158">
        <v>10</v>
      </c>
      <c r="J3" s="151">
        <f t="shared" ref="J3:J4" si="3">B3/I3</f>
        <v>77.25</v>
      </c>
      <c r="K3" s="158"/>
    </row>
    <row r="4" customHeight="1" spans="1:11">
      <c r="A4" s="3" t="s">
        <v>38</v>
      </c>
      <c r="B4" s="6">
        <v>688</v>
      </c>
      <c r="C4" s="61">
        <f t="shared" si="0"/>
        <v>0.471071550838754</v>
      </c>
      <c r="D4" s="19">
        <f t="shared" si="1"/>
        <v>0.0329750085587128</v>
      </c>
      <c r="E4" s="19">
        <f t="shared" si="2"/>
        <v>0.169585758301951</v>
      </c>
      <c r="F4" s="6">
        <v>0.01</v>
      </c>
      <c r="I4" s="159">
        <v>100</v>
      </c>
      <c r="J4" s="160">
        <f t="shared" si="3"/>
        <v>6.88</v>
      </c>
      <c r="K4" s="159"/>
    </row>
    <row r="5" customHeight="1" spans="1:11">
      <c r="A5" s="147"/>
      <c r="B5" s="148"/>
      <c r="C5" s="149">
        <f t="shared" si="0"/>
        <v>0</v>
      </c>
      <c r="D5" s="150">
        <f t="shared" si="1"/>
        <v>0</v>
      </c>
      <c r="E5" s="150">
        <f t="shared" si="2"/>
        <v>0</v>
      </c>
      <c r="F5" s="148"/>
      <c r="I5" s="158"/>
      <c r="J5" s="158"/>
      <c r="K5" s="158"/>
    </row>
    <row r="6" customHeight="1" spans="1:11">
      <c r="A6" s="3"/>
      <c r="B6" s="6"/>
      <c r="C6" s="61">
        <f t="shared" si="0"/>
        <v>0</v>
      </c>
      <c r="D6" s="19">
        <f t="shared" si="1"/>
        <v>0</v>
      </c>
      <c r="E6" s="19">
        <f t="shared" si="2"/>
        <v>0</v>
      </c>
      <c r="F6" s="6"/>
      <c r="I6" s="159"/>
      <c r="J6" s="159"/>
      <c r="K6" s="159"/>
    </row>
    <row r="7" customHeight="1" spans="1:11">
      <c r="A7" s="147"/>
      <c r="B7" s="148"/>
      <c r="C7" s="149">
        <f t="shared" si="0"/>
        <v>0</v>
      </c>
      <c r="D7" s="150">
        <f t="shared" si="1"/>
        <v>0</v>
      </c>
      <c r="E7" s="150">
        <f t="shared" si="2"/>
        <v>0</v>
      </c>
      <c r="F7" s="150"/>
      <c r="I7" s="158"/>
      <c r="J7" s="158"/>
      <c r="K7" s="158"/>
    </row>
    <row r="8" customHeight="1" spans="1:11">
      <c r="A8" s="3"/>
      <c r="B8" s="6"/>
      <c r="C8" s="61">
        <f t="shared" si="0"/>
        <v>0</v>
      </c>
      <c r="D8" s="19">
        <f t="shared" si="1"/>
        <v>0</v>
      </c>
      <c r="E8" s="19">
        <f t="shared" si="2"/>
        <v>0</v>
      </c>
      <c r="F8" s="19"/>
      <c r="I8" s="159"/>
      <c r="J8" s="159"/>
      <c r="K8" s="159"/>
    </row>
    <row r="9" customHeight="1" spans="1:11">
      <c r="A9" s="147"/>
      <c r="B9" s="148"/>
      <c r="C9" s="149">
        <f t="shared" si="0"/>
        <v>0</v>
      </c>
      <c r="D9" s="150">
        <f t="shared" si="1"/>
        <v>0</v>
      </c>
      <c r="E9" s="150">
        <f t="shared" si="2"/>
        <v>0</v>
      </c>
      <c r="F9" s="150"/>
      <c r="I9" s="158"/>
      <c r="J9" s="158"/>
      <c r="K9" s="158"/>
    </row>
    <row r="10" customHeight="1" spans="1:11">
      <c r="A10" s="3"/>
      <c r="B10" s="6"/>
      <c r="C10" s="61">
        <f t="shared" si="0"/>
        <v>0</v>
      </c>
      <c r="D10" s="19">
        <f t="shared" si="1"/>
        <v>0</v>
      </c>
      <c r="E10" s="19">
        <f t="shared" si="2"/>
        <v>0</v>
      </c>
      <c r="F10" s="19"/>
      <c r="I10" s="159"/>
      <c r="J10" s="159"/>
      <c r="K10" s="161"/>
    </row>
    <row r="11" customHeight="1" spans="1:11">
      <c r="A11" s="147"/>
      <c r="B11" s="148"/>
      <c r="C11" s="149">
        <f t="shared" si="0"/>
        <v>0</v>
      </c>
      <c r="D11" s="150">
        <f t="shared" si="1"/>
        <v>0</v>
      </c>
      <c r="E11" s="150">
        <f t="shared" si="2"/>
        <v>0</v>
      </c>
      <c r="F11" s="150"/>
      <c r="I11" s="158"/>
      <c r="J11" s="158"/>
      <c r="K11" s="158"/>
    </row>
    <row r="12" customHeight="1" spans="1:11">
      <c r="A12" s="3"/>
      <c r="B12" s="6"/>
      <c r="C12" s="61">
        <f t="shared" si="0"/>
        <v>0</v>
      </c>
      <c r="D12" s="19">
        <f t="shared" si="1"/>
        <v>0</v>
      </c>
      <c r="E12" s="19">
        <f t="shared" si="2"/>
        <v>0</v>
      </c>
      <c r="F12" s="19"/>
      <c r="I12" s="159"/>
      <c r="J12" s="159"/>
      <c r="K12" s="159"/>
    </row>
    <row r="13" customHeight="1" spans="1:11">
      <c r="A13" s="147"/>
      <c r="B13" s="148"/>
      <c r="C13" s="149">
        <f t="shared" si="0"/>
        <v>0</v>
      </c>
      <c r="D13" s="150">
        <f t="shared" si="1"/>
        <v>0</v>
      </c>
      <c r="E13" s="150">
        <f t="shared" si="2"/>
        <v>0</v>
      </c>
      <c r="F13" s="150"/>
      <c r="I13" s="158"/>
      <c r="J13" s="158"/>
      <c r="K13" s="158"/>
    </row>
    <row r="14" customHeight="1" spans="1:11">
      <c r="A14" s="3"/>
      <c r="B14" s="6"/>
      <c r="C14" s="61">
        <f t="shared" si="0"/>
        <v>0</v>
      </c>
      <c r="D14" s="19">
        <f t="shared" si="1"/>
        <v>0</v>
      </c>
      <c r="E14" s="19">
        <f t="shared" si="2"/>
        <v>0</v>
      </c>
      <c r="F14" s="19"/>
      <c r="I14" s="159"/>
      <c r="J14" s="159"/>
      <c r="K14" s="159"/>
    </row>
    <row r="15" customHeight="1" spans="1:11">
      <c r="A15" s="147"/>
      <c r="B15" s="148"/>
      <c r="C15" s="149">
        <f t="shared" si="0"/>
        <v>0</v>
      </c>
      <c r="D15" s="150">
        <f t="shared" si="1"/>
        <v>0</v>
      </c>
      <c r="E15" s="150">
        <f t="shared" si="2"/>
        <v>0</v>
      </c>
      <c r="F15" s="150"/>
      <c r="I15" s="158"/>
      <c r="J15" s="158"/>
      <c r="K15" s="158"/>
    </row>
    <row r="16" customHeight="1" spans="1:11">
      <c r="A16" s="3"/>
      <c r="B16" s="6"/>
      <c r="C16" s="61">
        <f t="shared" si="0"/>
        <v>0</v>
      </c>
      <c r="D16" s="19">
        <f t="shared" si="1"/>
        <v>0</v>
      </c>
      <c r="E16" s="19">
        <f t="shared" si="2"/>
        <v>0</v>
      </c>
      <c r="F16" s="19"/>
      <c r="I16" s="159"/>
      <c r="J16" s="159"/>
      <c r="K16" s="159"/>
    </row>
    <row r="17" customHeight="1" spans="1:11">
      <c r="A17" s="147"/>
      <c r="B17" s="148"/>
      <c r="C17" s="149">
        <f t="shared" si="0"/>
        <v>0</v>
      </c>
      <c r="D17" s="150">
        <f t="shared" si="1"/>
        <v>0</v>
      </c>
      <c r="E17" s="150">
        <f t="shared" si="2"/>
        <v>0</v>
      </c>
      <c r="F17" s="150"/>
      <c r="I17" s="158"/>
      <c r="J17" s="158"/>
      <c r="K17" s="158"/>
    </row>
    <row r="18" customHeight="1" spans="1:11">
      <c r="A18" s="3"/>
      <c r="B18" s="6"/>
      <c r="C18" s="61">
        <f t="shared" si="0"/>
        <v>0</v>
      </c>
      <c r="D18" s="19">
        <f t="shared" si="1"/>
        <v>0</v>
      </c>
      <c r="E18" s="19">
        <f t="shared" si="2"/>
        <v>0</v>
      </c>
      <c r="F18" s="19"/>
      <c r="I18" s="159"/>
      <c r="J18" s="159"/>
      <c r="K18" s="159"/>
    </row>
    <row r="19" customHeight="1" spans="1:11">
      <c r="A19" s="147"/>
      <c r="B19" s="148"/>
      <c r="C19" s="149">
        <f t="shared" si="0"/>
        <v>0</v>
      </c>
      <c r="D19" s="150">
        <f t="shared" si="1"/>
        <v>0</v>
      </c>
      <c r="E19" s="150">
        <f t="shared" si="2"/>
        <v>0</v>
      </c>
      <c r="F19" s="150"/>
      <c r="I19" s="158"/>
      <c r="J19" s="158"/>
      <c r="K19" s="158"/>
    </row>
    <row r="20" customHeight="1" spans="1:11">
      <c r="A20" s="3"/>
      <c r="B20" s="6"/>
      <c r="C20" s="61">
        <f t="shared" si="0"/>
        <v>0</v>
      </c>
      <c r="D20" s="19">
        <f t="shared" si="1"/>
        <v>0</v>
      </c>
      <c r="E20" s="19">
        <f t="shared" si="2"/>
        <v>0</v>
      </c>
      <c r="F20" s="19"/>
      <c r="I20" s="159"/>
      <c r="J20" s="159"/>
      <c r="K20" s="159"/>
    </row>
    <row r="21" customHeight="1" spans="1:11">
      <c r="A21" s="147"/>
      <c r="B21" s="148"/>
      <c r="C21" s="149">
        <f t="shared" si="0"/>
        <v>0</v>
      </c>
      <c r="D21" s="150">
        <f t="shared" si="1"/>
        <v>0</v>
      </c>
      <c r="E21" s="150">
        <f t="shared" si="2"/>
        <v>0</v>
      </c>
      <c r="F21" s="150"/>
      <c r="I21" s="158"/>
      <c r="J21" s="158"/>
      <c r="K21" s="158"/>
    </row>
    <row r="22" customHeight="1" spans="1:11">
      <c r="A22" s="3"/>
      <c r="B22" s="6"/>
      <c r="C22" s="61">
        <f t="shared" si="0"/>
        <v>0</v>
      </c>
      <c r="D22" s="19">
        <f t="shared" si="1"/>
        <v>0</v>
      </c>
      <c r="E22" s="19">
        <f t="shared" si="2"/>
        <v>0</v>
      </c>
      <c r="F22" s="19"/>
      <c r="I22" s="159"/>
      <c r="J22" s="159"/>
      <c r="K22" s="159"/>
    </row>
    <row r="23" customHeight="1" spans="1:11">
      <c r="A23" s="147"/>
      <c r="B23" s="148"/>
      <c r="C23" s="149">
        <f t="shared" si="0"/>
        <v>0</v>
      </c>
      <c r="D23" s="150">
        <f t="shared" si="1"/>
        <v>0</v>
      </c>
      <c r="E23" s="150">
        <f t="shared" si="2"/>
        <v>0</v>
      </c>
      <c r="F23" s="150"/>
      <c r="I23" s="158"/>
      <c r="J23" s="158"/>
      <c r="K23" s="158"/>
    </row>
    <row r="24" customHeight="1" spans="1:11">
      <c r="A24" s="152" t="s">
        <v>217</v>
      </c>
      <c r="B24" s="153">
        <f t="shared" ref="B24:F24" si="4">SUM(B3:B23)</f>
        <v>1460.5</v>
      </c>
      <c r="C24" s="154">
        <f t="shared" si="4"/>
        <v>1</v>
      </c>
      <c r="D24" s="153">
        <f t="shared" si="4"/>
        <v>0.07</v>
      </c>
      <c r="E24" s="153">
        <f t="shared" si="4"/>
        <v>0.36</v>
      </c>
      <c r="F24" s="153">
        <f t="shared" si="4"/>
        <v>0.02</v>
      </c>
      <c r="G24" s="155"/>
      <c r="H24" s="155"/>
      <c r="I24" s="45"/>
      <c r="J24" s="45"/>
      <c r="K24" s="45"/>
    </row>
    <row r="26" customHeight="1" spans="7:7">
      <c r="G26" s="15">
        <f>B24+G3+H3+F24</f>
        <v>1460.95</v>
      </c>
    </row>
  </sheetData>
  <mergeCells count="3">
    <mergeCell ref="A1:H1"/>
    <mergeCell ref="G3:G23"/>
    <mergeCell ref="H3:H2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319"/>
  <sheetViews>
    <sheetView showGridLines="0" tabSelected="1" workbookViewId="0">
      <selection activeCell="L141" sqref="L141"/>
    </sheetView>
  </sheetViews>
  <sheetFormatPr defaultColWidth="11.2166666666667" defaultRowHeight="15.75" customHeight="1"/>
  <cols>
    <col min="3" max="3" width="8.78333333333333" customWidth="1"/>
    <col min="4" max="4" width="17.5583333333333" customWidth="1"/>
    <col min="5" max="5" width="11.8916666666667" customWidth="1"/>
    <col min="6" max="6" width="13.8916666666667" customWidth="1"/>
    <col min="7" max="7" width="9.10833333333333" customWidth="1"/>
    <col min="8" max="8" width="9.21666666666667" customWidth="1"/>
    <col min="9" max="9" width="11.3333333333333" customWidth="1"/>
    <col min="10" max="10" width="12.4416666666667" customWidth="1"/>
    <col min="13" max="13" width="4.89166666666667" customWidth="1"/>
    <col min="14" max="14" width="13.3333333333333" customWidth="1"/>
    <col min="15" max="15" width="12" customWidth="1"/>
    <col min="16" max="16" width="8.55833333333333" customWidth="1"/>
    <col min="17" max="17" width="9.33333333333333" customWidth="1"/>
    <col min="18" max="18" width="9.21666666666667" customWidth="1"/>
    <col min="19" max="19" width="12.5583333333333" customWidth="1"/>
  </cols>
  <sheetData>
    <row r="1" customHeight="1" spans="1:15">
      <c r="A1" s="1" t="s">
        <v>0</v>
      </c>
      <c r="B1" s="1" t="s">
        <v>218</v>
      </c>
      <c r="C1" s="2" t="s">
        <v>219</v>
      </c>
      <c r="D1" s="1" t="s">
        <v>220</v>
      </c>
      <c r="E1" s="129" t="s">
        <v>221</v>
      </c>
      <c r="F1" s="130" t="s">
        <v>222</v>
      </c>
      <c r="G1" s="129" t="s">
        <v>223</v>
      </c>
      <c r="H1" s="129" t="s">
        <v>224</v>
      </c>
      <c r="I1" s="129" t="s">
        <v>225</v>
      </c>
      <c r="J1" s="135" t="s">
        <v>226</v>
      </c>
      <c r="K1" s="17" t="s">
        <v>227</v>
      </c>
      <c r="L1" s="136"/>
      <c r="M1" s="136"/>
      <c r="N1" s="137"/>
      <c r="O1" s="137"/>
    </row>
    <row r="2" customHeight="1" spans="1:15">
      <c r="A2" s="3" t="s">
        <v>38</v>
      </c>
      <c r="B2" s="3" t="s">
        <v>228</v>
      </c>
      <c r="C2" s="4">
        <v>100</v>
      </c>
      <c r="D2" s="131">
        <v>45643</v>
      </c>
      <c r="E2" s="132">
        <v>6.88</v>
      </c>
      <c r="F2" s="132">
        <f t="shared" ref="F2:F512" si="0">C2*E2</f>
        <v>688</v>
      </c>
      <c r="G2" s="132">
        <v>0.03</v>
      </c>
      <c r="H2" s="132">
        <v>0.17</v>
      </c>
      <c r="I2" s="132">
        <v>0.01</v>
      </c>
      <c r="J2" s="67">
        <f t="shared" ref="J2:J512" si="1">F2+G2+H2+I2</f>
        <v>688.21</v>
      </c>
      <c r="K2" s="3"/>
      <c r="L2" s="45"/>
      <c r="M2" s="45"/>
      <c r="N2" s="137"/>
      <c r="O2" s="137"/>
    </row>
    <row r="3" customHeight="1" spans="1:15">
      <c r="A3" s="7" t="s">
        <v>27</v>
      </c>
      <c r="B3" s="7" t="s">
        <v>228</v>
      </c>
      <c r="C3" s="8">
        <v>10</v>
      </c>
      <c r="D3" s="133">
        <v>45643</v>
      </c>
      <c r="E3" s="134">
        <v>77.25</v>
      </c>
      <c r="F3" s="134">
        <f t="shared" si="0"/>
        <v>772.5</v>
      </c>
      <c r="G3" s="134">
        <v>0.04</v>
      </c>
      <c r="H3" s="134">
        <v>0.19</v>
      </c>
      <c r="I3" s="134">
        <v>0.01</v>
      </c>
      <c r="J3" s="138">
        <f t="shared" si="1"/>
        <v>772.74</v>
      </c>
      <c r="K3" s="7"/>
      <c r="L3" s="45"/>
      <c r="M3" s="45"/>
      <c r="N3" s="137"/>
      <c r="O3" s="137"/>
    </row>
    <row r="4" customHeight="1" spans="1:15">
      <c r="A4" s="3" t="s">
        <v>33</v>
      </c>
      <c r="B4" s="3" t="s">
        <v>228</v>
      </c>
      <c r="C4" s="4">
        <v>10</v>
      </c>
      <c r="D4" s="131">
        <v>45643</v>
      </c>
      <c r="E4" s="132">
        <v>79.35</v>
      </c>
      <c r="F4" s="132">
        <f t="shared" si="0"/>
        <v>793.5</v>
      </c>
      <c r="G4" s="132">
        <v>0.04</v>
      </c>
      <c r="H4" s="132">
        <v>0.2</v>
      </c>
      <c r="I4" s="132">
        <v>0.01</v>
      </c>
      <c r="J4" s="67">
        <f t="shared" si="1"/>
        <v>793.75</v>
      </c>
      <c r="K4" s="3"/>
      <c r="L4" s="45"/>
      <c r="M4" s="45"/>
      <c r="N4" s="137"/>
      <c r="O4" s="137"/>
    </row>
    <row r="5" customHeight="1" spans="1:15">
      <c r="A5" s="7" t="s">
        <v>25</v>
      </c>
      <c r="B5" s="7" t="s">
        <v>228</v>
      </c>
      <c r="C5" s="8">
        <v>10</v>
      </c>
      <c r="D5" s="133">
        <v>45638</v>
      </c>
      <c r="E5" s="134">
        <v>80.9</v>
      </c>
      <c r="F5" s="134">
        <f t="shared" si="0"/>
        <v>809</v>
      </c>
      <c r="G5" s="134">
        <v>0.04</v>
      </c>
      <c r="H5" s="134">
        <v>0.2</v>
      </c>
      <c r="I5" s="134">
        <v>0.01</v>
      </c>
      <c r="J5" s="138">
        <f t="shared" si="1"/>
        <v>809.25</v>
      </c>
      <c r="K5" s="7"/>
      <c r="L5" s="45"/>
      <c r="M5" s="45"/>
      <c r="N5" s="137"/>
      <c r="O5" s="137"/>
    </row>
    <row r="6" customHeight="1" spans="1:15">
      <c r="A6" s="3" t="s">
        <v>20</v>
      </c>
      <c r="B6" s="3" t="s">
        <v>228</v>
      </c>
      <c r="C6" s="4">
        <v>10</v>
      </c>
      <c r="D6" s="131">
        <v>45636</v>
      </c>
      <c r="E6" s="132">
        <v>68.5</v>
      </c>
      <c r="F6" s="132">
        <f t="shared" si="0"/>
        <v>685</v>
      </c>
      <c r="G6" s="132">
        <v>0.03</v>
      </c>
      <c r="H6" s="132">
        <v>0.17</v>
      </c>
      <c r="I6" s="132">
        <v>0.01</v>
      </c>
      <c r="J6" s="67">
        <f t="shared" si="1"/>
        <v>685.21</v>
      </c>
      <c r="K6" s="3"/>
      <c r="L6" s="45"/>
      <c r="M6" s="45"/>
      <c r="N6" s="137"/>
      <c r="O6" s="137"/>
    </row>
    <row r="7" customHeight="1" spans="1:15">
      <c r="A7" s="7" t="s">
        <v>27</v>
      </c>
      <c r="B7" s="7" t="s">
        <v>228</v>
      </c>
      <c r="C7" s="8">
        <v>10</v>
      </c>
      <c r="D7" s="133">
        <v>45636</v>
      </c>
      <c r="E7" s="134">
        <v>84.1</v>
      </c>
      <c r="F7" s="134">
        <f t="shared" si="0"/>
        <v>841</v>
      </c>
      <c r="G7" s="134">
        <v>0.04</v>
      </c>
      <c r="H7" s="134">
        <v>0.21</v>
      </c>
      <c r="I7" s="134">
        <v>0.01</v>
      </c>
      <c r="J7" s="138">
        <f t="shared" si="1"/>
        <v>841.26</v>
      </c>
      <c r="K7" s="7"/>
      <c r="L7" s="45"/>
      <c r="M7" s="45"/>
      <c r="N7" s="137"/>
      <c r="O7" s="137"/>
    </row>
    <row r="8" customHeight="1" spans="1:15">
      <c r="A8" s="3" t="s">
        <v>38</v>
      </c>
      <c r="B8" s="3" t="s">
        <v>228</v>
      </c>
      <c r="C8" s="4">
        <v>100</v>
      </c>
      <c r="D8" s="131">
        <v>45631</v>
      </c>
      <c r="E8" s="132">
        <v>7.25</v>
      </c>
      <c r="F8" s="132">
        <f t="shared" si="0"/>
        <v>725</v>
      </c>
      <c r="G8" s="132">
        <v>0.04</v>
      </c>
      <c r="H8" s="132">
        <v>0.18</v>
      </c>
      <c r="I8" s="132">
        <v>0.015</v>
      </c>
      <c r="J8" s="67">
        <f t="shared" si="1"/>
        <v>725.235</v>
      </c>
      <c r="K8" s="3"/>
      <c r="L8" s="45"/>
      <c r="M8" s="45"/>
      <c r="N8" s="137"/>
      <c r="O8" s="137"/>
    </row>
    <row r="9" customHeight="1" spans="1:15">
      <c r="A9" s="7" t="s">
        <v>27</v>
      </c>
      <c r="B9" s="7" t="s">
        <v>228</v>
      </c>
      <c r="C9" s="8">
        <v>10</v>
      </c>
      <c r="D9" s="133">
        <v>45631</v>
      </c>
      <c r="E9" s="134">
        <v>85.21</v>
      </c>
      <c r="F9" s="134">
        <f t="shared" si="0"/>
        <v>852.1</v>
      </c>
      <c r="G9" s="134">
        <v>0.04</v>
      </c>
      <c r="H9" s="134">
        <v>0.21</v>
      </c>
      <c r="I9" s="134">
        <v>0.015</v>
      </c>
      <c r="J9" s="138">
        <f t="shared" si="1"/>
        <v>852.365</v>
      </c>
      <c r="K9" s="7"/>
      <c r="L9" s="45"/>
      <c r="M9" s="45"/>
      <c r="N9" s="137"/>
      <c r="O9" s="137"/>
    </row>
    <row r="10" customHeight="1" spans="1:15">
      <c r="A10" s="3" t="s">
        <v>22</v>
      </c>
      <c r="B10" s="3" t="s">
        <v>228</v>
      </c>
      <c r="C10" s="4">
        <v>10</v>
      </c>
      <c r="D10" s="131">
        <v>45631</v>
      </c>
      <c r="E10" s="132">
        <v>87.51</v>
      </c>
      <c r="F10" s="132">
        <f t="shared" si="0"/>
        <v>875.1</v>
      </c>
      <c r="G10" s="132">
        <v>0.04</v>
      </c>
      <c r="H10" s="132">
        <v>0.22</v>
      </c>
      <c r="I10" s="132">
        <v>0.015</v>
      </c>
      <c r="J10" s="67">
        <f t="shared" si="1"/>
        <v>875.375</v>
      </c>
      <c r="K10" s="3"/>
      <c r="L10" s="45"/>
      <c r="M10" s="45"/>
      <c r="N10" s="137"/>
      <c r="O10" s="137"/>
    </row>
    <row r="11" customHeight="1" spans="1:15">
      <c r="A11" s="7" t="s">
        <v>32</v>
      </c>
      <c r="B11" s="7" t="s">
        <v>228</v>
      </c>
      <c r="C11" s="8">
        <v>15</v>
      </c>
      <c r="D11" s="133">
        <v>45631</v>
      </c>
      <c r="E11" s="134">
        <v>66.85</v>
      </c>
      <c r="F11" s="134">
        <f t="shared" si="0"/>
        <v>1002.75</v>
      </c>
      <c r="G11" s="134">
        <v>0.05</v>
      </c>
      <c r="H11" s="134">
        <v>0.25</v>
      </c>
      <c r="I11" s="134">
        <v>0.015</v>
      </c>
      <c r="J11" s="138">
        <f t="shared" si="1"/>
        <v>1003.065</v>
      </c>
      <c r="K11" s="7"/>
      <c r="L11" s="45"/>
      <c r="M11" s="45"/>
      <c r="N11" s="137"/>
      <c r="O11" s="137"/>
    </row>
    <row r="12" customHeight="1" spans="1:15">
      <c r="A12" s="3" t="s">
        <v>18</v>
      </c>
      <c r="B12" s="3" t="s">
        <v>228</v>
      </c>
      <c r="C12" s="4">
        <v>10</v>
      </c>
      <c r="D12" s="131">
        <v>45628</v>
      </c>
      <c r="E12" s="132">
        <v>96.1</v>
      </c>
      <c r="F12" s="132">
        <f t="shared" si="0"/>
        <v>961</v>
      </c>
      <c r="G12" s="132">
        <v>0.04</v>
      </c>
      <c r="H12" s="132">
        <v>0.24</v>
      </c>
      <c r="I12" s="132">
        <v>0.015</v>
      </c>
      <c r="J12" s="67">
        <f t="shared" si="1"/>
        <v>961.295</v>
      </c>
      <c r="K12" s="3"/>
      <c r="L12" s="45"/>
      <c r="M12" s="45"/>
      <c r="N12" s="137"/>
      <c r="O12" s="137"/>
    </row>
    <row r="13" customHeight="1" spans="1:15">
      <c r="A13" s="7" t="s">
        <v>26</v>
      </c>
      <c r="B13" s="7" t="s">
        <v>228</v>
      </c>
      <c r="C13" s="8">
        <v>100</v>
      </c>
      <c r="D13" s="133">
        <v>45628</v>
      </c>
      <c r="E13" s="134">
        <v>8.27</v>
      </c>
      <c r="F13" s="134">
        <f t="shared" si="0"/>
        <v>827</v>
      </c>
      <c r="G13" s="134">
        <v>0.04</v>
      </c>
      <c r="H13" s="134">
        <v>0.2</v>
      </c>
      <c r="I13" s="134">
        <v>0.015</v>
      </c>
      <c r="J13" s="138">
        <f t="shared" si="1"/>
        <v>827.255</v>
      </c>
      <c r="K13" s="7"/>
      <c r="L13" s="45"/>
      <c r="M13" s="45"/>
      <c r="N13" s="137"/>
      <c r="O13" s="137"/>
    </row>
    <row r="14" customHeight="1" spans="1:15">
      <c r="A14" s="3" t="s">
        <v>43</v>
      </c>
      <c r="B14" s="3" t="s">
        <v>228</v>
      </c>
      <c r="C14" s="4">
        <v>10</v>
      </c>
      <c r="D14" s="131">
        <v>45628</v>
      </c>
      <c r="E14" s="132">
        <v>98.2</v>
      </c>
      <c r="F14" s="132">
        <f t="shared" si="0"/>
        <v>982</v>
      </c>
      <c r="G14" s="132">
        <v>0.05</v>
      </c>
      <c r="H14" s="132">
        <v>0.25</v>
      </c>
      <c r="I14" s="132">
        <v>0.01</v>
      </c>
      <c r="J14" s="67">
        <f t="shared" si="1"/>
        <v>982.31</v>
      </c>
      <c r="K14" s="3"/>
      <c r="L14" s="45"/>
      <c r="M14" s="45"/>
      <c r="N14" s="137"/>
      <c r="O14" s="137"/>
    </row>
    <row r="15" customHeight="1" spans="1:15">
      <c r="A15" s="7" t="s">
        <v>38</v>
      </c>
      <c r="B15" s="7" t="s">
        <v>228</v>
      </c>
      <c r="C15" s="8">
        <v>100</v>
      </c>
      <c r="D15" s="133">
        <v>45565</v>
      </c>
      <c r="E15" s="134">
        <v>8.54</v>
      </c>
      <c r="F15" s="134">
        <f t="shared" si="0"/>
        <v>854</v>
      </c>
      <c r="G15" s="134">
        <v>0.04</v>
      </c>
      <c r="H15" s="134">
        <v>0.21</v>
      </c>
      <c r="I15" s="134">
        <v>0.01</v>
      </c>
      <c r="J15" s="138">
        <f t="shared" si="1"/>
        <v>854.26</v>
      </c>
      <c r="K15" s="7"/>
      <c r="L15" s="45"/>
      <c r="M15" s="45"/>
      <c r="N15" s="137"/>
      <c r="O15" s="137"/>
    </row>
    <row r="16" customHeight="1" spans="1:15">
      <c r="A16" s="3" t="s">
        <v>32</v>
      </c>
      <c r="B16" s="3" t="s">
        <v>228</v>
      </c>
      <c r="C16" s="4">
        <v>10</v>
      </c>
      <c r="D16" s="131">
        <v>45565</v>
      </c>
      <c r="E16" s="132">
        <v>77</v>
      </c>
      <c r="F16" s="132">
        <f t="shared" si="0"/>
        <v>770</v>
      </c>
      <c r="G16" s="132">
        <v>0.04</v>
      </c>
      <c r="H16" s="132">
        <v>0.19</v>
      </c>
      <c r="I16" s="132">
        <v>0.01</v>
      </c>
      <c r="J16" s="67">
        <f t="shared" si="1"/>
        <v>770.24</v>
      </c>
      <c r="K16" s="3"/>
      <c r="L16" s="45"/>
      <c r="M16" s="45"/>
      <c r="N16" s="137"/>
      <c r="O16" s="137"/>
    </row>
    <row r="17" customHeight="1" spans="1:15">
      <c r="A17" s="7" t="s">
        <v>40</v>
      </c>
      <c r="B17" s="7" t="s">
        <v>228</v>
      </c>
      <c r="C17" s="8">
        <v>100</v>
      </c>
      <c r="D17" s="133">
        <v>45565</v>
      </c>
      <c r="E17" s="134">
        <v>8.7</v>
      </c>
      <c r="F17" s="134">
        <f t="shared" si="0"/>
        <v>870</v>
      </c>
      <c r="G17" s="134">
        <v>0.04</v>
      </c>
      <c r="H17" s="134">
        <v>0.22</v>
      </c>
      <c r="I17" s="134">
        <v>0.01</v>
      </c>
      <c r="J17" s="138">
        <f t="shared" si="1"/>
        <v>870.27</v>
      </c>
      <c r="K17" s="7"/>
      <c r="L17" s="45"/>
      <c r="M17" s="45"/>
      <c r="N17" s="137"/>
      <c r="O17" s="137"/>
    </row>
    <row r="18" customHeight="1" spans="1:15">
      <c r="A18" s="3" t="s">
        <v>40</v>
      </c>
      <c r="B18" s="3" t="s">
        <v>228</v>
      </c>
      <c r="C18" s="4">
        <v>100</v>
      </c>
      <c r="D18" s="131">
        <v>45559</v>
      </c>
      <c r="E18" s="132">
        <v>8.72</v>
      </c>
      <c r="F18" s="132">
        <f t="shared" si="0"/>
        <v>872</v>
      </c>
      <c r="G18" s="132">
        <v>0.04</v>
      </c>
      <c r="H18" s="132">
        <v>0.21</v>
      </c>
      <c r="I18" s="132">
        <v>0.01</v>
      </c>
      <c r="J18" s="67">
        <f t="shared" si="1"/>
        <v>872.26</v>
      </c>
      <c r="K18" s="3"/>
      <c r="L18" s="45"/>
      <c r="M18" s="45"/>
      <c r="N18" s="137"/>
      <c r="O18" s="137"/>
    </row>
    <row r="19" customHeight="1" spans="1:15">
      <c r="A19" s="7" t="s">
        <v>36</v>
      </c>
      <c r="B19" s="7" t="s">
        <v>228</v>
      </c>
      <c r="C19" s="8">
        <v>10</v>
      </c>
      <c r="D19" s="133">
        <v>45548</v>
      </c>
      <c r="E19" s="134">
        <v>82.75</v>
      </c>
      <c r="F19" s="134">
        <f t="shared" si="0"/>
        <v>827.5</v>
      </c>
      <c r="G19" s="134">
        <v>0.04</v>
      </c>
      <c r="H19" s="134">
        <v>0.2</v>
      </c>
      <c r="I19" s="134">
        <v>0.01</v>
      </c>
      <c r="J19" s="138">
        <f t="shared" si="1"/>
        <v>827.75</v>
      </c>
      <c r="K19" s="7"/>
      <c r="L19" s="45"/>
      <c r="M19" s="45"/>
      <c r="N19" s="137"/>
      <c r="O19" s="137"/>
    </row>
    <row r="20" customHeight="1" spans="1:15">
      <c r="A20" s="3" t="s">
        <v>27</v>
      </c>
      <c r="B20" s="3" t="s">
        <v>228</v>
      </c>
      <c r="C20" s="4">
        <v>10</v>
      </c>
      <c r="D20" s="131">
        <v>45548</v>
      </c>
      <c r="E20" s="132">
        <v>92.37</v>
      </c>
      <c r="F20" s="132">
        <f t="shared" si="0"/>
        <v>923.7</v>
      </c>
      <c r="G20" s="132">
        <v>0.04</v>
      </c>
      <c r="H20" s="132">
        <v>0.23</v>
      </c>
      <c r="I20" s="132">
        <v>0.01</v>
      </c>
      <c r="J20" s="67">
        <f t="shared" si="1"/>
        <v>923.98</v>
      </c>
      <c r="K20" s="3"/>
      <c r="L20" s="45"/>
      <c r="M20" s="45"/>
      <c r="N20" s="137"/>
      <c r="O20" s="137"/>
    </row>
    <row r="21" customHeight="1" spans="1:15">
      <c r="A21" s="7" t="s">
        <v>40</v>
      </c>
      <c r="B21" s="7" t="s">
        <v>228</v>
      </c>
      <c r="C21" s="8">
        <v>100</v>
      </c>
      <c r="D21" s="133">
        <v>45538</v>
      </c>
      <c r="E21" s="134">
        <v>9.07</v>
      </c>
      <c r="F21" s="134">
        <f t="shared" si="0"/>
        <v>907</v>
      </c>
      <c r="G21" s="134">
        <v>0.04</v>
      </c>
      <c r="H21" s="134">
        <v>0.22</v>
      </c>
      <c r="I21" s="134">
        <v>0.01</v>
      </c>
      <c r="J21" s="138">
        <f t="shared" si="1"/>
        <v>907.27</v>
      </c>
      <c r="K21" s="7"/>
      <c r="L21" s="45"/>
      <c r="M21" s="45"/>
      <c r="N21" s="137"/>
      <c r="O21" s="137"/>
    </row>
    <row r="22" customHeight="1" spans="1:15">
      <c r="A22" s="3" t="s">
        <v>41</v>
      </c>
      <c r="B22" s="3" t="s">
        <v>228</v>
      </c>
      <c r="C22" s="4">
        <v>10</v>
      </c>
      <c r="D22" s="131">
        <v>45531</v>
      </c>
      <c r="E22" s="132">
        <v>90.6</v>
      </c>
      <c r="F22" s="132">
        <f t="shared" si="0"/>
        <v>906</v>
      </c>
      <c r="G22" s="132">
        <v>0.04</v>
      </c>
      <c r="H22" s="132">
        <v>0.22</v>
      </c>
      <c r="I22" s="132">
        <v>0.01</v>
      </c>
      <c r="J22" s="67">
        <f t="shared" si="1"/>
        <v>906.27</v>
      </c>
      <c r="K22" s="3"/>
      <c r="L22" s="45"/>
      <c r="M22" s="45"/>
      <c r="N22" s="137"/>
      <c r="O22" s="137"/>
    </row>
    <row r="23" customHeight="1" spans="1:15">
      <c r="A23" s="7" t="s">
        <v>33</v>
      </c>
      <c r="B23" s="7" t="s">
        <v>228</v>
      </c>
      <c r="C23" s="8">
        <v>10</v>
      </c>
      <c r="D23" s="133">
        <v>45525</v>
      </c>
      <c r="E23" s="134">
        <v>96.42</v>
      </c>
      <c r="F23" s="134">
        <f t="shared" si="0"/>
        <v>964.2</v>
      </c>
      <c r="G23" s="134">
        <v>0.04</v>
      </c>
      <c r="H23" s="134">
        <v>0.24</v>
      </c>
      <c r="I23" s="134">
        <v>0.01</v>
      </c>
      <c r="J23" s="138">
        <f t="shared" si="1"/>
        <v>964.49</v>
      </c>
      <c r="K23" s="7"/>
      <c r="L23" s="45"/>
      <c r="M23" s="45"/>
      <c r="N23" s="137"/>
      <c r="O23" s="137"/>
    </row>
    <row r="24" customHeight="1" spans="1:15">
      <c r="A24" s="3" t="s">
        <v>41</v>
      </c>
      <c r="B24" s="3" t="s">
        <v>228</v>
      </c>
      <c r="C24" s="4">
        <v>10</v>
      </c>
      <c r="D24" s="131">
        <v>45512</v>
      </c>
      <c r="E24" s="132">
        <v>89.85</v>
      </c>
      <c r="F24" s="132">
        <f t="shared" si="0"/>
        <v>898.5</v>
      </c>
      <c r="G24" s="132">
        <v>0.04</v>
      </c>
      <c r="H24" s="132">
        <v>0.22</v>
      </c>
      <c r="I24" s="132">
        <v>0.015</v>
      </c>
      <c r="J24" s="67">
        <f t="shared" si="1"/>
        <v>898.775</v>
      </c>
      <c r="K24" s="3"/>
      <c r="L24" s="45"/>
      <c r="M24" s="45"/>
      <c r="N24" s="137"/>
      <c r="O24" s="137"/>
    </row>
    <row r="25" customHeight="1" spans="1:15">
      <c r="A25" s="7" t="s">
        <v>36</v>
      </c>
      <c r="B25" s="7" t="s">
        <v>228</v>
      </c>
      <c r="C25" s="8">
        <v>10</v>
      </c>
      <c r="D25" s="133">
        <v>45512</v>
      </c>
      <c r="E25" s="134">
        <v>82.45</v>
      </c>
      <c r="F25" s="134">
        <f t="shared" si="0"/>
        <v>824.5</v>
      </c>
      <c r="G25" s="134">
        <v>0.04</v>
      </c>
      <c r="H25" s="134">
        <v>0.21</v>
      </c>
      <c r="I25" s="134">
        <v>0.015</v>
      </c>
      <c r="J25" s="138">
        <f t="shared" si="1"/>
        <v>824.765</v>
      </c>
      <c r="K25" s="7"/>
      <c r="L25" s="45"/>
      <c r="M25" s="45"/>
      <c r="N25" s="137"/>
      <c r="O25" s="137"/>
    </row>
    <row r="26" customHeight="1" spans="1:15">
      <c r="A26" s="3" t="s">
        <v>31</v>
      </c>
      <c r="B26" s="3" t="s">
        <v>228</v>
      </c>
      <c r="C26" s="4">
        <v>10</v>
      </c>
      <c r="D26" s="131">
        <v>45509</v>
      </c>
      <c r="E26" s="132">
        <v>83.75</v>
      </c>
      <c r="F26" s="132">
        <f t="shared" si="0"/>
        <v>837.5</v>
      </c>
      <c r="G26" s="132">
        <v>0.04</v>
      </c>
      <c r="H26" s="132">
        <v>0.21</v>
      </c>
      <c r="I26" s="132">
        <v>0.013</v>
      </c>
      <c r="J26" s="67">
        <f t="shared" si="1"/>
        <v>837.763</v>
      </c>
      <c r="K26" s="3"/>
      <c r="L26" s="45"/>
      <c r="M26" s="45"/>
      <c r="N26" s="137"/>
      <c r="O26" s="137"/>
    </row>
    <row r="27" customHeight="1" spans="1:15">
      <c r="A27" s="7" t="s">
        <v>38</v>
      </c>
      <c r="B27" s="7" t="s">
        <v>228</v>
      </c>
      <c r="C27" s="8">
        <v>100</v>
      </c>
      <c r="D27" s="133">
        <v>45509</v>
      </c>
      <c r="E27" s="134">
        <v>8.7</v>
      </c>
      <c r="F27" s="134">
        <f t="shared" si="0"/>
        <v>870</v>
      </c>
      <c r="G27" s="134">
        <v>0.04</v>
      </c>
      <c r="H27" s="134">
        <v>0.21</v>
      </c>
      <c r="I27" s="134">
        <v>0.013</v>
      </c>
      <c r="J27" s="138">
        <f t="shared" si="1"/>
        <v>870.263</v>
      </c>
      <c r="K27" s="7"/>
      <c r="L27" s="45"/>
      <c r="M27" s="45"/>
      <c r="N27" s="137"/>
      <c r="O27" s="137"/>
    </row>
    <row r="28" customHeight="1" spans="1:15">
      <c r="A28" s="3" t="s">
        <v>20</v>
      </c>
      <c r="B28" s="3" t="s">
        <v>228</v>
      </c>
      <c r="C28" s="4">
        <v>10</v>
      </c>
      <c r="D28" s="131">
        <v>45509</v>
      </c>
      <c r="E28" s="132">
        <v>84.2</v>
      </c>
      <c r="F28" s="132">
        <f t="shared" si="0"/>
        <v>842</v>
      </c>
      <c r="G28" s="132">
        <v>0.04</v>
      </c>
      <c r="H28" s="132">
        <v>0.21</v>
      </c>
      <c r="I28" s="132">
        <v>0.013</v>
      </c>
      <c r="J28" s="67">
        <f t="shared" si="1"/>
        <v>842.263</v>
      </c>
      <c r="K28" s="3"/>
      <c r="L28" s="45"/>
      <c r="M28" s="45"/>
      <c r="N28" s="137"/>
      <c r="O28" s="137"/>
    </row>
    <row r="29" customHeight="1" spans="1:15">
      <c r="A29" s="7" t="s">
        <v>36</v>
      </c>
      <c r="B29" s="7" t="s">
        <v>228</v>
      </c>
      <c r="C29" s="8">
        <v>15</v>
      </c>
      <c r="D29" s="133">
        <v>45497</v>
      </c>
      <c r="E29" s="134">
        <v>85.7</v>
      </c>
      <c r="F29" s="134">
        <f t="shared" si="0"/>
        <v>1285.5</v>
      </c>
      <c r="G29" s="134">
        <v>0.06</v>
      </c>
      <c r="H29" s="134">
        <v>0.32</v>
      </c>
      <c r="I29" s="134">
        <v>0.02</v>
      </c>
      <c r="J29" s="138">
        <f t="shared" si="1"/>
        <v>1285.9</v>
      </c>
      <c r="K29" s="7"/>
      <c r="L29" s="45"/>
      <c r="M29" s="45"/>
      <c r="N29" s="137"/>
      <c r="O29" s="137"/>
    </row>
    <row r="30" customHeight="1" spans="1:15">
      <c r="A30" s="3" t="s">
        <v>38</v>
      </c>
      <c r="B30" s="3" t="s">
        <v>228</v>
      </c>
      <c r="C30" s="4">
        <v>100</v>
      </c>
      <c r="D30" s="131">
        <v>45398</v>
      </c>
      <c r="E30" s="132">
        <v>9.05</v>
      </c>
      <c r="F30" s="132">
        <f t="shared" si="0"/>
        <v>905</v>
      </c>
      <c r="G30" s="132">
        <v>0.04</v>
      </c>
      <c r="H30" s="132">
        <v>0.22</v>
      </c>
      <c r="I30" s="132"/>
      <c r="J30" s="67">
        <f t="shared" si="1"/>
        <v>905.26</v>
      </c>
      <c r="K30" s="3"/>
      <c r="L30" s="45"/>
      <c r="M30" s="45"/>
      <c r="N30" s="137"/>
      <c r="O30" s="137"/>
    </row>
    <row r="31" customHeight="1" spans="1:15">
      <c r="A31" s="7" t="s">
        <v>36</v>
      </c>
      <c r="B31" s="7" t="s">
        <v>228</v>
      </c>
      <c r="C31" s="8">
        <v>10</v>
      </c>
      <c r="D31" s="133">
        <v>45414</v>
      </c>
      <c r="E31" s="134">
        <v>89.9</v>
      </c>
      <c r="F31" s="134">
        <f t="shared" si="0"/>
        <v>899</v>
      </c>
      <c r="G31" s="134">
        <v>0.04</v>
      </c>
      <c r="H31" s="134">
        <v>0.22</v>
      </c>
      <c r="I31" s="134"/>
      <c r="J31" s="138">
        <f t="shared" si="1"/>
        <v>899.26</v>
      </c>
      <c r="K31" s="7"/>
      <c r="L31" s="45"/>
      <c r="M31" s="45"/>
      <c r="N31" s="137"/>
      <c r="O31" s="137"/>
    </row>
    <row r="32" customHeight="1" spans="1:15">
      <c r="A32" s="3" t="s">
        <v>36</v>
      </c>
      <c r="B32" s="3" t="s">
        <v>228</v>
      </c>
      <c r="C32" s="4">
        <v>10</v>
      </c>
      <c r="D32" s="131">
        <v>45489</v>
      </c>
      <c r="E32" s="132">
        <v>87.9</v>
      </c>
      <c r="F32" s="132">
        <f t="shared" si="0"/>
        <v>879</v>
      </c>
      <c r="G32" s="132">
        <v>0.04</v>
      </c>
      <c r="H32" s="132">
        <v>0.21</v>
      </c>
      <c r="I32" s="132">
        <v>0.01</v>
      </c>
      <c r="J32" s="67">
        <f t="shared" si="1"/>
        <v>879.26</v>
      </c>
      <c r="K32" s="3"/>
      <c r="L32" s="45"/>
      <c r="M32" s="45"/>
      <c r="N32" s="137"/>
      <c r="O32" s="137"/>
    </row>
    <row r="33" customHeight="1" spans="1:15">
      <c r="A33" s="7" t="s">
        <v>36</v>
      </c>
      <c r="B33" s="7" t="s">
        <v>228</v>
      </c>
      <c r="C33" s="8">
        <v>10</v>
      </c>
      <c r="D33" s="133">
        <v>45484</v>
      </c>
      <c r="E33" s="134">
        <v>89.16</v>
      </c>
      <c r="F33" s="134">
        <f t="shared" si="0"/>
        <v>891.6</v>
      </c>
      <c r="G33" s="134">
        <v>0.04</v>
      </c>
      <c r="H33" s="134">
        <v>0.22</v>
      </c>
      <c r="I33" s="134">
        <v>0.01</v>
      </c>
      <c r="J33" s="138">
        <f t="shared" si="1"/>
        <v>891.87</v>
      </c>
      <c r="K33" s="7"/>
      <c r="L33" s="45"/>
      <c r="M33" s="45"/>
      <c r="N33" s="137"/>
      <c r="O33" s="137"/>
    </row>
    <row r="34" customHeight="1" spans="1:15">
      <c r="A34" s="3" t="s">
        <v>38</v>
      </c>
      <c r="B34" s="3" t="s">
        <v>228</v>
      </c>
      <c r="C34" s="4">
        <v>100</v>
      </c>
      <c r="D34" s="131">
        <v>45476</v>
      </c>
      <c r="E34" s="132">
        <v>8.69</v>
      </c>
      <c r="F34" s="132">
        <f t="shared" si="0"/>
        <v>869</v>
      </c>
      <c r="G34" s="132">
        <v>0.04</v>
      </c>
      <c r="H34" s="132">
        <v>0.21</v>
      </c>
      <c r="I34" s="132">
        <v>0.015</v>
      </c>
      <c r="J34" s="67">
        <f t="shared" si="1"/>
        <v>869.265</v>
      </c>
      <c r="K34" s="3"/>
      <c r="L34" s="45"/>
      <c r="M34" s="45"/>
      <c r="N34" s="137"/>
      <c r="O34" s="137"/>
    </row>
    <row r="35" customHeight="1" spans="1:15">
      <c r="A35" s="7" t="s">
        <v>20</v>
      </c>
      <c r="B35" s="7" t="s">
        <v>228</v>
      </c>
      <c r="C35" s="8">
        <v>10</v>
      </c>
      <c r="D35" s="133">
        <v>45476</v>
      </c>
      <c r="E35" s="134">
        <v>84.95</v>
      </c>
      <c r="F35" s="134">
        <f t="shared" si="0"/>
        <v>849.5</v>
      </c>
      <c r="G35" s="134">
        <v>0.04</v>
      </c>
      <c r="H35" s="134">
        <v>0.21</v>
      </c>
      <c r="I35" s="134">
        <v>0.015</v>
      </c>
      <c r="J35" s="138">
        <f t="shared" si="1"/>
        <v>849.765</v>
      </c>
      <c r="K35" s="7"/>
      <c r="L35" s="45"/>
      <c r="M35" s="45"/>
      <c r="N35" s="137"/>
      <c r="O35" s="137"/>
    </row>
    <row r="36" customHeight="1" spans="1:15">
      <c r="A36" s="3" t="s">
        <v>30</v>
      </c>
      <c r="B36" s="3" t="s">
        <v>228</v>
      </c>
      <c r="C36" s="4">
        <v>10</v>
      </c>
      <c r="D36" s="131">
        <v>45461</v>
      </c>
      <c r="E36" s="132">
        <v>97</v>
      </c>
      <c r="F36" s="132">
        <f t="shared" si="0"/>
        <v>970</v>
      </c>
      <c r="G36" s="132">
        <v>0.06</v>
      </c>
      <c r="H36" s="132">
        <v>0.24</v>
      </c>
      <c r="I36" s="132">
        <v>0.015</v>
      </c>
      <c r="J36" s="67">
        <f t="shared" si="1"/>
        <v>970.315</v>
      </c>
      <c r="K36" s="3"/>
      <c r="L36" s="45"/>
      <c r="M36" s="45"/>
      <c r="N36" s="137"/>
      <c r="O36" s="137"/>
    </row>
    <row r="37" customHeight="1" spans="1:15">
      <c r="A37" s="7" t="s">
        <v>27</v>
      </c>
      <c r="B37" s="7" t="s">
        <v>228</v>
      </c>
      <c r="C37" s="8">
        <v>10</v>
      </c>
      <c r="D37" s="133">
        <v>45461</v>
      </c>
      <c r="E37" s="134">
        <v>92.2</v>
      </c>
      <c r="F37" s="134">
        <f t="shared" si="0"/>
        <v>922</v>
      </c>
      <c r="G37" s="134">
        <v>0.05</v>
      </c>
      <c r="H37" s="134">
        <v>0.23</v>
      </c>
      <c r="I37" s="134">
        <v>0.015</v>
      </c>
      <c r="J37" s="138">
        <f t="shared" si="1"/>
        <v>922.295</v>
      </c>
      <c r="K37" s="7"/>
      <c r="L37" s="45"/>
      <c r="M37" s="45"/>
      <c r="N37" s="137"/>
      <c r="O37" s="137"/>
    </row>
    <row r="38" customHeight="1" spans="1:15">
      <c r="A38" s="3" t="s">
        <v>32</v>
      </c>
      <c r="B38" s="3" t="s">
        <v>228</v>
      </c>
      <c r="C38" s="4">
        <v>10</v>
      </c>
      <c r="D38" s="131">
        <v>45457</v>
      </c>
      <c r="E38" s="132">
        <v>77.15</v>
      </c>
      <c r="F38" s="132">
        <f t="shared" si="0"/>
        <v>771.5</v>
      </c>
      <c r="G38" s="132">
        <v>0.04</v>
      </c>
      <c r="H38" s="132">
        <v>0.19</v>
      </c>
      <c r="I38" s="132">
        <v>0.015</v>
      </c>
      <c r="J38" s="67">
        <f t="shared" si="1"/>
        <v>771.745</v>
      </c>
      <c r="K38" s="3"/>
      <c r="L38" s="45"/>
      <c r="M38" s="45"/>
      <c r="N38" s="137"/>
      <c r="O38" s="137"/>
    </row>
    <row r="39" customHeight="1" spans="1:15">
      <c r="A39" s="7" t="s">
        <v>25</v>
      </c>
      <c r="B39" s="7" t="s">
        <v>228</v>
      </c>
      <c r="C39" s="8">
        <v>10</v>
      </c>
      <c r="D39" s="133">
        <v>45457</v>
      </c>
      <c r="E39" s="134">
        <v>94.4</v>
      </c>
      <c r="F39" s="134">
        <f t="shared" si="0"/>
        <v>944</v>
      </c>
      <c r="G39" s="134">
        <v>0.05</v>
      </c>
      <c r="H39" s="134">
        <v>0.24</v>
      </c>
      <c r="I39" s="134">
        <v>0.015</v>
      </c>
      <c r="J39" s="138">
        <f t="shared" si="1"/>
        <v>944.305</v>
      </c>
      <c r="K39" s="7"/>
      <c r="L39" s="45"/>
      <c r="M39" s="45"/>
      <c r="N39" s="137"/>
      <c r="O39" s="137"/>
    </row>
    <row r="40" customHeight="1" spans="1:15">
      <c r="A40" s="3" t="s">
        <v>36</v>
      </c>
      <c r="B40" s="3" t="s">
        <v>228</v>
      </c>
      <c r="C40" s="4">
        <v>10</v>
      </c>
      <c r="D40" s="131">
        <v>45457</v>
      </c>
      <c r="E40" s="132">
        <v>89.07</v>
      </c>
      <c r="F40" s="132">
        <f t="shared" si="0"/>
        <v>890.7</v>
      </c>
      <c r="G40" s="132">
        <v>0.04</v>
      </c>
      <c r="H40" s="132">
        <v>0.22</v>
      </c>
      <c r="I40" s="132">
        <v>0.01</v>
      </c>
      <c r="J40" s="67">
        <f t="shared" si="1"/>
        <v>890.97</v>
      </c>
      <c r="K40" s="3"/>
      <c r="L40" s="45"/>
      <c r="M40" s="45"/>
      <c r="N40" s="137"/>
      <c r="O40" s="137"/>
    </row>
    <row r="41" customHeight="1" spans="1:15">
      <c r="A41" s="7" t="s">
        <v>36</v>
      </c>
      <c r="B41" s="7" t="s">
        <v>228</v>
      </c>
      <c r="C41" s="8">
        <v>10</v>
      </c>
      <c r="D41" s="133">
        <v>45454</v>
      </c>
      <c r="E41" s="134">
        <v>89.2</v>
      </c>
      <c r="F41" s="134">
        <f t="shared" si="0"/>
        <v>892</v>
      </c>
      <c r="G41" s="134">
        <v>0.04</v>
      </c>
      <c r="H41" s="134">
        <v>0.22</v>
      </c>
      <c r="I41" s="134">
        <v>0.01</v>
      </c>
      <c r="J41" s="138">
        <f t="shared" si="1"/>
        <v>892.27</v>
      </c>
      <c r="K41" s="7"/>
      <c r="L41" s="45"/>
      <c r="M41" s="45"/>
      <c r="N41" s="137"/>
      <c r="O41" s="137"/>
    </row>
    <row r="42" customHeight="1" spans="1:15">
      <c r="A42" s="3" t="s">
        <v>25</v>
      </c>
      <c r="B42" s="3" t="s">
        <v>228</v>
      </c>
      <c r="C42" s="4">
        <v>10</v>
      </c>
      <c r="D42" s="131">
        <v>45454</v>
      </c>
      <c r="E42" s="132">
        <v>94.81</v>
      </c>
      <c r="F42" s="132">
        <f t="shared" si="0"/>
        <v>948.1</v>
      </c>
      <c r="G42" s="132">
        <v>0.05</v>
      </c>
      <c r="H42" s="132">
        <v>0.24</v>
      </c>
      <c r="I42" s="132">
        <v>0.01</v>
      </c>
      <c r="J42" s="67">
        <f t="shared" si="1"/>
        <v>948.4</v>
      </c>
      <c r="K42" s="3"/>
      <c r="L42" s="45"/>
      <c r="M42" s="45"/>
      <c r="N42" s="137"/>
      <c r="O42" s="137"/>
    </row>
    <row r="43" customHeight="1" spans="1:15">
      <c r="A43" s="7" t="s">
        <v>38</v>
      </c>
      <c r="B43" s="7" t="s">
        <v>228</v>
      </c>
      <c r="C43" s="8">
        <v>100</v>
      </c>
      <c r="D43" s="133">
        <v>45443</v>
      </c>
      <c r="E43" s="134">
        <v>8.9</v>
      </c>
      <c r="F43" s="134">
        <f t="shared" si="0"/>
        <v>890</v>
      </c>
      <c r="G43" s="134">
        <v>0.04</v>
      </c>
      <c r="H43" s="134">
        <v>0.22</v>
      </c>
      <c r="I43" s="134">
        <v>0.01333</v>
      </c>
      <c r="J43" s="138">
        <f t="shared" si="1"/>
        <v>890.27333</v>
      </c>
      <c r="K43" s="7"/>
      <c r="L43" s="45"/>
      <c r="M43" s="45"/>
      <c r="N43" s="137"/>
      <c r="O43" s="137"/>
    </row>
    <row r="44" customHeight="1" spans="1:15">
      <c r="A44" s="3" t="s">
        <v>31</v>
      </c>
      <c r="B44" s="3" t="s">
        <v>228</v>
      </c>
      <c r="C44" s="4">
        <v>10</v>
      </c>
      <c r="D44" s="131">
        <v>45443</v>
      </c>
      <c r="E44" s="132">
        <v>85.89</v>
      </c>
      <c r="F44" s="132">
        <f t="shared" si="0"/>
        <v>858.9</v>
      </c>
      <c r="G44" s="132">
        <v>0.04</v>
      </c>
      <c r="H44" s="132">
        <v>0.21</v>
      </c>
      <c r="I44" s="132">
        <v>0.01333</v>
      </c>
      <c r="J44" s="67">
        <f t="shared" si="1"/>
        <v>859.16333</v>
      </c>
      <c r="K44" s="3"/>
      <c r="L44" s="45"/>
      <c r="M44" s="45"/>
      <c r="N44" s="137"/>
      <c r="O44" s="137"/>
    </row>
    <row r="45" customHeight="1" spans="1:15">
      <c r="A45" s="7" t="s">
        <v>32</v>
      </c>
      <c r="B45" s="7" t="s">
        <v>228</v>
      </c>
      <c r="C45" s="8">
        <v>10</v>
      </c>
      <c r="D45" s="133">
        <v>45443</v>
      </c>
      <c r="E45" s="134">
        <v>80.89</v>
      </c>
      <c r="F45" s="134">
        <f t="shared" si="0"/>
        <v>808.9</v>
      </c>
      <c r="G45" s="134">
        <v>0.04</v>
      </c>
      <c r="H45" s="134">
        <v>0.2</v>
      </c>
      <c r="I45" s="134">
        <v>0.01333</v>
      </c>
      <c r="J45" s="138">
        <f t="shared" si="1"/>
        <v>809.15333</v>
      </c>
      <c r="K45" s="7"/>
      <c r="L45" s="45"/>
      <c r="M45" s="45"/>
      <c r="N45" s="137"/>
      <c r="O45" s="137"/>
    </row>
    <row r="46" customHeight="1" spans="1:15">
      <c r="A46" s="3" t="s">
        <v>36</v>
      </c>
      <c r="B46" s="3" t="s">
        <v>228</v>
      </c>
      <c r="C46" s="4">
        <v>10</v>
      </c>
      <c r="D46" s="131">
        <v>45447</v>
      </c>
      <c r="E46" s="132">
        <v>89.45</v>
      </c>
      <c r="F46" s="132">
        <f t="shared" si="0"/>
        <v>894.5</v>
      </c>
      <c r="G46" s="132">
        <v>0.04</v>
      </c>
      <c r="H46" s="132">
        <v>0.22</v>
      </c>
      <c r="I46" s="132">
        <v>0.01</v>
      </c>
      <c r="J46" s="67">
        <f t="shared" si="1"/>
        <v>894.77</v>
      </c>
      <c r="K46" s="3"/>
      <c r="L46" s="45"/>
      <c r="M46" s="45"/>
      <c r="N46" s="137"/>
      <c r="O46" s="137"/>
    </row>
    <row r="47" customHeight="1" spans="1:15">
      <c r="A47" s="7" t="s">
        <v>38</v>
      </c>
      <c r="B47" s="7" t="s">
        <v>228</v>
      </c>
      <c r="C47" s="8">
        <v>100</v>
      </c>
      <c r="D47" s="133">
        <v>45439</v>
      </c>
      <c r="E47" s="134">
        <v>8.85</v>
      </c>
      <c r="F47" s="134">
        <f t="shared" si="0"/>
        <v>885</v>
      </c>
      <c r="G47" s="134">
        <v>0.04</v>
      </c>
      <c r="H47" s="134">
        <v>0.22</v>
      </c>
      <c r="I47" s="134">
        <v>0.01</v>
      </c>
      <c r="J47" s="138">
        <f t="shared" si="1"/>
        <v>885.27</v>
      </c>
      <c r="K47" s="7"/>
      <c r="L47" s="45"/>
      <c r="M47" s="45"/>
      <c r="N47" s="137"/>
      <c r="O47" s="137"/>
    </row>
    <row r="48" customHeight="1" spans="1:15">
      <c r="A48" s="3" t="s">
        <v>36</v>
      </c>
      <c r="B48" s="3" t="s">
        <v>228</v>
      </c>
      <c r="C48" s="4">
        <v>10</v>
      </c>
      <c r="D48" s="131">
        <v>45433</v>
      </c>
      <c r="E48" s="132">
        <v>89.85</v>
      </c>
      <c r="F48" s="132">
        <f t="shared" si="0"/>
        <v>898.5</v>
      </c>
      <c r="G48" s="132">
        <v>0.04</v>
      </c>
      <c r="H48" s="132">
        <v>0.22</v>
      </c>
      <c r="I48" s="132">
        <v>0.01</v>
      </c>
      <c r="J48" s="67">
        <f t="shared" si="1"/>
        <v>898.77</v>
      </c>
      <c r="K48" s="3"/>
      <c r="L48" s="45"/>
      <c r="M48" s="45"/>
      <c r="N48" s="137"/>
      <c r="O48" s="137"/>
    </row>
    <row r="49" customHeight="1" spans="1:15">
      <c r="A49" s="7" t="s">
        <v>38</v>
      </c>
      <c r="B49" s="7" t="s">
        <v>228</v>
      </c>
      <c r="C49" s="8">
        <v>100</v>
      </c>
      <c r="D49" s="133">
        <v>45432</v>
      </c>
      <c r="E49" s="134">
        <v>8.89</v>
      </c>
      <c r="F49" s="134">
        <f t="shared" si="0"/>
        <v>889</v>
      </c>
      <c r="G49" s="134">
        <v>0.04</v>
      </c>
      <c r="H49" s="134">
        <v>0.22</v>
      </c>
      <c r="I49" s="134">
        <v>0.01</v>
      </c>
      <c r="J49" s="138">
        <f t="shared" si="1"/>
        <v>889.27</v>
      </c>
      <c r="K49" s="7"/>
      <c r="L49" s="45"/>
      <c r="M49" s="45"/>
      <c r="N49" s="137"/>
      <c r="O49" s="137"/>
    </row>
    <row r="50" customHeight="1" spans="1:15">
      <c r="A50" s="3" t="s">
        <v>36</v>
      </c>
      <c r="B50" s="3" t="s">
        <v>228</v>
      </c>
      <c r="C50" s="4">
        <v>10</v>
      </c>
      <c r="D50" s="131">
        <v>45427</v>
      </c>
      <c r="E50" s="132">
        <v>89.8</v>
      </c>
      <c r="F50" s="132">
        <f t="shared" si="0"/>
        <v>898</v>
      </c>
      <c r="G50" s="132">
        <v>0.04</v>
      </c>
      <c r="H50" s="132">
        <v>0.22</v>
      </c>
      <c r="I50" s="132">
        <v>0.01</v>
      </c>
      <c r="J50" s="67">
        <f t="shared" si="1"/>
        <v>898.27</v>
      </c>
      <c r="K50" s="3"/>
      <c r="L50" s="45"/>
      <c r="M50" s="45"/>
      <c r="N50" s="137"/>
      <c r="O50" s="137"/>
    </row>
    <row r="51" customHeight="1" spans="1:15">
      <c r="A51" s="7" t="s">
        <v>41</v>
      </c>
      <c r="B51" s="7" t="s">
        <v>228</v>
      </c>
      <c r="C51" s="8">
        <v>10</v>
      </c>
      <c r="D51" s="133">
        <v>45425</v>
      </c>
      <c r="E51" s="134">
        <v>90.5</v>
      </c>
      <c r="F51" s="134">
        <f t="shared" si="0"/>
        <v>905</v>
      </c>
      <c r="G51" s="134">
        <v>0.04</v>
      </c>
      <c r="H51" s="134">
        <v>0.22</v>
      </c>
      <c r="I51" s="134">
        <v>0.013</v>
      </c>
      <c r="J51" s="138">
        <f t="shared" si="1"/>
        <v>905.273</v>
      </c>
      <c r="K51" s="7"/>
      <c r="L51" s="45"/>
      <c r="M51" s="45"/>
      <c r="N51" s="137"/>
      <c r="O51" s="137"/>
    </row>
    <row r="52" customHeight="1" spans="1:15">
      <c r="A52" s="3" t="s">
        <v>36</v>
      </c>
      <c r="B52" s="3" t="s">
        <v>228</v>
      </c>
      <c r="C52" s="4">
        <v>20</v>
      </c>
      <c r="D52" s="131">
        <v>45425</v>
      </c>
      <c r="E52" s="132">
        <v>90.03</v>
      </c>
      <c r="F52" s="132">
        <f t="shared" si="0"/>
        <v>1800.6</v>
      </c>
      <c r="G52" s="132">
        <v>0.09</v>
      </c>
      <c r="H52" s="132">
        <v>0.45</v>
      </c>
      <c r="I52" s="132">
        <v>0.027</v>
      </c>
      <c r="J52" s="67">
        <f t="shared" si="1"/>
        <v>1801.167</v>
      </c>
      <c r="K52" s="3"/>
      <c r="L52" s="45"/>
      <c r="M52" s="45"/>
      <c r="N52" s="137"/>
      <c r="O52" s="137"/>
    </row>
    <row r="53" customHeight="1" spans="1:15">
      <c r="A53" s="7" t="s">
        <v>39</v>
      </c>
      <c r="B53" s="7" t="s">
        <v>229</v>
      </c>
      <c r="C53" s="8">
        <v>-100</v>
      </c>
      <c r="D53" s="133">
        <v>45425</v>
      </c>
      <c r="E53" s="134">
        <v>31.59</v>
      </c>
      <c r="F53" s="134">
        <f t="shared" si="0"/>
        <v>-3159</v>
      </c>
      <c r="G53" s="134">
        <v>0.16</v>
      </c>
      <c r="H53" s="134">
        <v>0.79</v>
      </c>
      <c r="I53" s="134">
        <v>0.05</v>
      </c>
      <c r="J53" s="138">
        <f t="shared" si="1"/>
        <v>-3158</v>
      </c>
      <c r="K53" s="7"/>
      <c r="L53" s="45"/>
      <c r="M53" s="45"/>
      <c r="N53" s="137"/>
      <c r="O53" s="137"/>
    </row>
    <row r="54" customHeight="1" spans="1:15">
      <c r="A54" s="3" t="s">
        <v>36</v>
      </c>
      <c r="B54" s="3" t="s">
        <v>228</v>
      </c>
      <c r="C54" s="4">
        <v>10</v>
      </c>
      <c r="D54" s="131">
        <v>45422</v>
      </c>
      <c r="E54" s="132">
        <v>90.01</v>
      </c>
      <c r="F54" s="132">
        <f t="shared" si="0"/>
        <v>900.1</v>
      </c>
      <c r="G54" s="132">
        <v>0.04</v>
      </c>
      <c r="H54" s="132">
        <v>0.22</v>
      </c>
      <c r="I54" s="132">
        <v>0.01</v>
      </c>
      <c r="J54" s="67">
        <f t="shared" si="1"/>
        <v>900.37</v>
      </c>
      <c r="K54" s="3"/>
      <c r="L54" s="45"/>
      <c r="M54" s="45"/>
      <c r="N54" s="137"/>
      <c r="O54" s="137"/>
    </row>
    <row r="55" customHeight="1" spans="1:15">
      <c r="A55" s="7" t="s">
        <v>36</v>
      </c>
      <c r="B55" s="7" t="s">
        <v>228</v>
      </c>
      <c r="C55" s="8">
        <v>10</v>
      </c>
      <c r="D55" s="133">
        <v>45421</v>
      </c>
      <c r="E55" s="134">
        <v>90.41</v>
      </c>
      <c r="F55" s="134">
        <f t="shared" si="0"/>
        <v>904.1</v>
      </c>
      <c r="G55" s="134">
        <v>0.04</v>
      </c>
      <c r="H55" s="134">
        <v>0.22</v>
      </c>
      <c r="I55" s="134">
        <v>0.01</v>
      </c>
      <c r="J55" s="138">
        <f t="shared" si="1"/>
        <v>904.37</v>
      </c>
      <c r="K55" s="7"/>
      <c r="L55" s="45"/>
      <c r="M55" s="45"/>
      <c r="N55" s="137"/>
      <c r="O55" s="137"/>
    </row>
    <row r="56" customHeight="1" spans="1:15">
      <c r="A56" s="3" t="s">
        <v>41</v>
      </c>
      <c r="B56" s="3" t="s">
        <v>228</v>
      </c>
      <c r="C56" s="4">
        <v>10</v>
      </c>
      <c r="D56" s="131">
        <v>45414</v>
      </c>
      <c r="E56" s="132">
        <v>89.9</v>
      </c>
      <c r="F56" s="132">
        <f t="shared" si="0"/>
        <v>899</v>
      </c>
      <c r="G56" s="132">
        <v>0.04</v>
      </c>
      <c r="H56" s="132">
        <v>0.22</v>
      </c>
      <c r="I56" s="132"/>
      <c r="J56" s="67">
        <f t="shared" si="1"/>
        <v>899.26</v>
      </c>
      <c r="K56" s="3"/>
      <c r="L56" s="45"/>
      <c r="M56" s="45"/>
      <c r="N56" s="137"/>
      <c r="O56" s="137"/>
    </row>
    <row r="57" customHeight="1" spans="1:15">
      <c r="A57" s="7" t="s">
        <v>38</v>
      </c>
      <c r="B57" s="7" t="s">
        <v>228</v>
      </c>
      <c r="C57" s="8">
        <v>100</v>
      </c>
      <c r="D57" s="133">
        <v>45400</v>
      </c>
      <c r="E57" s="134">
        <v>8.7</v>
      </c>
      <c r="F57" s="134">
        <f t="shared" si="0"/>
        <v>870</v>
      </c>
      <c r="G57" s="134">
        <v>0.04</v>
      </c>
      <c r="H57" s="134">
        <v>0.21</v>
      </c>
      <c r="I57" s="134"/>
      <c r="J57" s="138">
        <f t="shared" si="1"/>
        <v>870.25</v>
      </c>
      <c r="K57" s="7"/>
      <c r="L57" s="45"/>
      <c r="M57" s="45"/>
      <c r="N57" s="137"/>
      <c r="O57" s="137"/>
    </row>
    <row r="58" customHeight="1" spans="1:15">
      <c r="A58" s="3" t="s">
        <v>32</v>
      </c>
      <c r="B58" s="3" t="s">
        <v>228</v>
      </c>
      <c r="C58" s="4">
        <v>10</v>
      </c>
      <c r="D58" s="131">
        <v>45394</v>
      </c>
      <c r="E58" s="132">
        <v>82.8</v>
      </c>
      <c r="F58" s="132">
        <f t="shared" si="0"/>
        <v>828</v>
      </c>
      <c r="G58" s="132">
        <v>0.04</v>
      </c>
      <c r="H58" s="132">
        <v>0.2</v>
      </c>
      <c r="I58" s="132"/>
      <c r="J58" s="67">
        <f t="shared" si="1"/>
        <v>828.24</v>
      </c>
      <c r="K58" s="3"/>
      <c r="L58" s="45"/>
      <c r="M58" s="45"/>
      <c r="N58" s="137"/>
      <c r="O58" s="137"/>
    </row>
    <row r="59" customHeight="1" spans="1:15">
      <c r="A59" s="7" t="s">
        <v>41</v>
      </c>
      <c r="B59" s="7" t="s">
        <v>228</v>
      </c>
      <c r="C59" s="8">
        <v>10</v>
      </c>
      <c r="D59" s="133">
        <v>45394</v>
      </c>
      <c r="E59" s="134">
        <v>91.55</v>
      </c>
      <c r="F59" s="134">
        <f t="shared" si="0"/>
        <v>915.5</v>
      </c>
      <c r="G59" s="134">
        <v>0.04</v>
      </c>
      <c r="H59" s="134">
        <v>0.23</v>
      </c>
      <c r="I59" s="134"/>
      <c r="J59" s="138">
        <f t="shared" si="1"/>
        <v>915.77</v>
      </c>
      <c r="K59" s="7"/>
      <c r="L59" s="45"/>
      <c r="M59" s="45"/>
      <c r="N59" s="137"/>
      <c r="O59" s="137"/>
    </row>
    <row r="60" customHeight="1" spans="1:15">
      <c r="A60" s="3" t="s">
        <v>41</v>
      </c>
      <c r="B60" s="3" t="s">
        <v>228</v>
      </c>
      <c r="C60" s="4">
        <v>10</v>
      </c>
      <c r="D60" s="131">
        <v>45393</v>
      </c>
      <c r="E60" s="132">
        <v>91.65</v>
      </c>
      <c r="F60" s="132">
        <f t="shared" si="0"/>
        <v>916.5</v>
      </c>
      <c r="G60" s="132">
        <v>0.04</v>
      </c>
      <c r="H60" s="132">
        <v>0.22</v>
      </c>
      <c r="I60" s="132"/>
      <c r="J60" s="67">
        <f t="shared" si="1"/>
        <v>916.76</v>
      </c>
      <c r="K60" s="3"/>
      <c r="L60" s="45"/>
      <c r="M60" s="45"/>
      <c r="N60" s="137"/>
      <c r="O60" s="137"/>
    </row>
    <row r="61" customHeight="1" spans="1:15">
      <c r="A61" s="7" t="s">
        <v>38</v>
      </c>
      <c r="B61" s="7" t="s">
        <v>228</v>
      </c>
      <c r="C61" s="8">
        <v>50</v>
      </c>
      <c r="D61" s="133">
        <v>45391</v>
      </c>
      <c r="E61" s="134">
        <v>9.1</v>
      </c>
      <c r="F61" s="134">
        <f t="shared" si="0"/>
        <v>455</v>
      </c>
      <c r="G61" s="134">
        <v>0.02</v>
      </c>
      <c r="H61" s="134">
        <v>0.11</v>
      </c>
      <c r="I61" s="134"/>
      <c r="J61" s="138">
        <f t="shared" si="1"/>
        <v>455.13</v>
      </c>
      <c r="K61" s="7"/>
      <c r="L61" s="45"/>
      <c r="M61" s="45"/>
      <c r="N61" s="137"/>
      <c r="O61" s="137"/>
    </row>
    <row r="62" customHeight="1" spans="1:15">
      <c r="A62" s="3" t="s">
        <v>41</v>
      </c>
      <c r="B62" s="3" t="s">
        <v>228</v>
      </c>
      <c r="C62" s="4">
        <v>10</v>
      </c>
      <c r="D62" s="131">
        <v>45391</v>
      </c>
      <c r="E62" s="132">
        <v>92.18</v>
      </c>
      <c r="F62" s="132">
        <f t="shared" si="0"/>
        <v>921.8</v>
      </c>
      <c r="G62" s="132">
        <v>0.04</v>
      </c>
      <c r="H62" s="132">
        <v>0.23</v>
      </c>
      <c r="I62" s="132"/>
      <c r="J62" s="67">
        <f t="shared" si="1"/>
        <v>922.07</v>
      </c>
      <c r="K62" s="3"/>
      <c r="L62" s="45"/>
      <c r="M62" s="45"/>
      <c r="N62" s="137"/>
      <c r="O62" s="137"/>
    </row>
    <row r="63" customHeight="1" spans="1:15">
      <c r="A63" s="7" t="s">
        <v>38</v>
      </c>
      <c r="B63" s="7" t="s">
        <v>228</v>
      </c>
      <c r="C63" s="8">
        <v>100</v>
      </c>
      <c r="D63" s="133">
        <v>45387</v>
      </c>
      <c r="E63" s="134">
        <v>9.1</v>
      </c>
      <c r="F63" s="134">
        <f t="shared" si="0"/>
        <v>910</v>
      </c>
      <c r="G63" s="134">
        <v>0.04</v>
      </c>
      <c r="H63" s="134">
        <v>0.22</v>
      </c>
      <c r="I63" s="134"/>
      <c r="J63" s="138">
        <f t="shared" si="1"/>
        <v>910.26</v>
      </c>
      <c r="K63" s="7"/>
      <c r="L63" s="45"/>
      <c r="M63" s="45"/>
      <c r="N63" s="137"/>
      <c r="O63" s="137"/>
    </row>
    <row r="64" customHeight="1" spans="1:15">
      <c r="A64" s="3" t="s">
        <v>40</v>
      </c>
      <c r="B64" s="3" t="s">
        <v>228</v>
      </c>
      <c r="C64" s="4">
        <v>100</v>
      </c>
      <c r="D64" s="131">
        <v>45383</v>
      </c>
      <c r="E64" s="132">
        <v>9.32</v>
      </c>
      <c r="F64" s="132">
        <f t="shared" si="0"/>
        <v>932</v>
      </c>
      <c r="G64" s="132">
        <v>0.05</v>
      </c>
      <c r="H64" s="132">
        <v>0.24</v>
      </c>
      <c r="I64" s="132"/>
      <c r="J64" s="67">
        <f t="shared" si="1"/>
        <v>932.29</v>
      </c>
      <c r="K64" s="3"/>
      <c r="L64" s="45"/>
      <c r="M64" s="45"/>
      <c r="N64" s="137"/>
      <c r="O64" s="137"/>
    </row>
    <row r="65" customHeight="1" spans="1:15">
      <c r="A65" s="7" t="s">
        <v>38</v>
      </c>
      <c r="B65" s="7" t="s">
        <v>228</v>
      </c>
      <c r="C65" s="8">
        <v>100</v>
      </c>
      <c r="D65" s="133">
        <v>45383</v>
      </c>
      <c r="E65" s="134">
        <v>9.16</v>
      </c>
      <c r="F65" s="134">
        <f t="shared" si="0"/>
        <v>916</v>
      </c>
      <c r="G65" s="134">
        <v>0.04</v>
      </c>
      <c r="H65" s="134">
        <v>0.22</v>
      </c>
      <c r="I65" s="134"/>
      <c r="J65" s="138">
        <f t="shared" si="1"/>
        <v>916.26</v>
      </c>
      <c r="K65" s="7"/>
      <c r="L65" s="45"/>
      <c r="M65" s="45"/>
      <c r="N65" s="137"/>
      <c r="O65" s="137"/>
    </row>
    <row r="66" customHeight="1" spans="1:15">
      <c r="A66" s="3" t="s">
        <v>40</v>
      </c>
      <c r="B66" s="3" t="s">
        <v>228</v>
      </c>
      <c r="C66" s="4">
        <v>100</v>
      </c>
      <c r="D66" s="131">
        <v>45379</v>
      </c>
      <c r="E66" s="132">
        <v>9.4</v>
      </c>
      <c r="F66" s="132">
        <f t="shared" si="0"/>
        <v>940</v>
      </c>
      <c r="G66" s="132">
        <v>0.04</v>
      </c>
      <c r="H66" s="132">
        <v>0.23</v>
      </c>
      <c r="I66" s="132"/>
      <c r="J66" s="67">
        <f t="shared" si="1"/>
        <v>940.27</v>
      </c>
      <c r="K66" s="3"/>
      <c r="L66" s="45"/>
      <c r="M66" s="45"/>
      <c r="N66" s="137"/>
      <c r="O66" s="137"/>
    </row>
    <row r="67" customHeight="1" spans="1:15">
      <c r="A67" s="7" t="s">
        <v>43</v>
      </c>
      <c r="B67" s="7" t="s">
        <v>228</v>
      </c>
      <c r="C67" s="8">
        <v>10</v>
      </c>
      <c r="D67" s="133">
        <v>45370</v>
      </c>
      <c r="E67" s="134">
        <v>105.8</v>
      </c>
      <c r="F67" s="134">
        <f t="shared" si="0"/>
        <v>1058</v>
      </c>
      <c r="G67" s="134">
        <v>0.05</v>
      </c>
      <c r="H67" s="134">
        <v>0.26</v>
      </c>
      <c r="I67" s="134"/>
      <c r="J67" s="138">
        <f t="shared" si="1"/>
        <v>1058.31</v>
      </c>
      <c r="K67" s="7"/>
      <c r="L67" s="45"/>
      <c r="M67" s="45"/>
      <c r="N67" s="137"/>
      <c r="O67" s="137"/>
    </row>
    <row r="68" customHeight="1" spans="1:15">
      <c r="A68" s="3" t="s">
        <v>27</v>
      </c>
      <c r="B68" s="3" t="s">
        <v>228</v>
      </c>
      <c r="C68" s="4">
        <v>10</v>
      </c>
      <c r="D68" s="131">
        <v>45362</v>
      </c>
      <c r="E68" s="132">
        <v>97.95</v>
      </c>
      <c r="F68" s="132">
        <f t="shared" si="0"/>
        <v>979.5</v>
      </c>
      <c r="G68" s="132">
        <v>0.04</v>
      </c>
      <c r="H68" s="132">
        <v>0.24</v>
      </c>
      <c r="I68" s="132"/>
      <c r="J68" s="67">
        <f t="shared" si="1"/>
        <v>979.78</v>
      </c>
      <c r="K68" s="3"/>
      <c r="L68" s="45"/>
      <c r="M68" s="45"/>
      <c r="N68" s="137"/>
      <c r="O68" s="137"/>
    </row>
    <row r="69" customHeight="1" spans="1:15">
      <c r="A69" s="7" t="s">
        <v>25</v>
      </c>
      <c r="B69" s="7" t="s">
        <v>228</v>
      </c>
      <c r="C69" s="8">
        <v>10</v>
      </c>
      <c r="D69" s="133">
        <v>45355</v>
      </c>
      <c r="E69" s="134">
        <v>95.8</v>
      </c>
      <c r="F69" s="134">
        <f t="shared" si="0"/>
        <v>958</v>
      </c>
      <c r="G69" s="134">
        <v>0.05</v>
      </c>
      <c r="H69" s="134">
        <v>0.24</v>
      </c>
      <c r="I69" s="134"/>
      <c r="J69" s="138">
        <f t="shared" si="1"/>
        <v>958.29</v>
      </c>
      <c r="K69" s="7"/>
      <c r="L69" s="45"/>
      <c r="M69" s="45"/>
      <c r="N69" s="137"/>
      <c r="O69" s="137"/>
    </row>
    <row r="70" customHeight="1" spans="1:15">
      <c r="A70" s="3" t="s">
        <v>38</v>
      </c>
      <c r="B70" s="3" t="s">
        <v>228</v>
      </c>
      <c r="C70" s="4">
        <v>50</v>
      </c>
      <c r="D70" s="131">
        <v>45355</v>
      </c>
      <c r="E70" s="132">
        <v>9.3</v>
      </c>
      <c r="F70" s="132">
        <f t="shared" si="0"/>
        <v>465</v>
      </c>
      <c r="G70" s="132">
        <v>0.02</v>
      </c>
      <c r="H70" s="132">
        <v>0.12</v>
      </c>
      <c r="I70" s="132"/>
      <c r="J70" s="67">
        <f t="shared" si="1"/>
        <v>465.14</v>
      </c>
      <c r="K70" s="3"/>
      <c r="L70" s="45"/>
      <c r="M70" s="45"/>
      <c r="N70" s="137"/>
      <c r="O70" s="137"/>
    </row>
    <row r="71" customHeight="1" spans="1:15">
      <c r="A71" s="7" t="s">
        <v>32</v>
      </c>
      <c r="B71" s="7" t="s">
        <v>228</v>
      </c>
      <c r="C71" s="8">
        <v>10</v>
      </c>
      <c r="D71" s="133">
        <v>45355</v>
      </c>
      <c r="E71" s="134">
        <v>83.9</v>
      </c>
      <c r="F71" s="134">
        <f t="shared" si="0"/>
        <v>839</v>
      </c>
      <c r="G71" s="134">
        <v>0.04</v>
      </c>
      <c r="H71" s="134">
        <v>0.21</v>
      </c>
      <c r="I71" s="134"/>
      <c r="J71" s="138">
        <f t="shared" si="1"/>
        <v>839.25</v>
      </c>
      <c r="K71" s="7"/>
      <c r="L71" s="45"/>
      <c r="M71" s="45"/>
      <c r="N71" s="137"/>
      <c r="O71" s="137"/>
    </row>
    <row r="72" customHeight="1" spans="1:15">
      <c r="A72" s="3" t="s">
        <v>38</v>
      </c>
      <c r="B72" s="3" t="s">
        <v>228</v>
      </c>
      <c r="C72" s="4">
        <v>50</v>
      </c>
      <c r="D72" s="131">
        <v>45352</v>
      </c>
      <c r="E72" s="132">
        <v>9.31</v>
      </c>
      <c r="F72" s="132">
        <f t="shared" si="0"/>
        <v>465.5</v>
      </c>
      <c r="G72" s="132">
        <v>0.02</v>
      </c>
      <c r="H72" s="132">
        <v>0.11</v>
      </c>
      <c r="I72" s="132"/>
      <c r="J72" s="67">
        <f t="shared" si="1"/>
        <v>465.63</v>
      </c>
      <c r="K72" s="3"/>
      <c r="L72" s="45"/>
      <c r="M72" s="45"/>
      <c r="N72" s="137"/>
      <c r="O72" s="137"/>
    </row>
    <row r="73" customHeight="1" spans="1:15">
      <c r="A73" s="7" t="s">
        <v>32</v>
      </c>
      <c r="B73" s="7" t="s">
        <v>228</v>
      </c>
      <c r="C73" s="8">
        <v>10</v>
      </c>
      <c r="D73" s="133">
        <v>45352</v>
      </c>
      <c r="E73" s="134">
        <v>84.38</v>
      </c>
      <c r="F73" s="134">
        <f t="shared" si="0"/>
        <v>843.8</v>
      </c>
      <c r="G73" s="134">
        <v>0.04</v>
      </c>
      <c r="H73" s="134">
        <v>0.21</v>
      </c>
      <c r="I73" s="134"/>
      <c r="J73" s="138">
        <f t="shared" si="1"/>
        <v>844.05</v>
      </c>
      <c r="K73" s="7"/>
      <c r="L73" s="45"/>
      <c r="M73" s="45"/>
      <c r="N73" s="137"/>
      <c r="O73" s="137"/>
    </row>
    <row r="74" customHeight="1" spans="1:15">
      <c r="A74" s="3" t="s">
        <v>27</v>
      </c>
      <c r="B74" s="3" t="s">
        <v>228</v>
      </c>
      <c r="C74" s="4">
        <v>10</v>
      </c>
      <c r="D74" s="131">
        <v>45350</v>
      </c>
      <c r="E74" s="132">
        <v>95.3</v>
      </c>
      <c r="F74" s="132">
        <f t="shared" si="0"/>
        <v>953</v>
      </c>
      <c r="G74" s="132">
        <v>0.04</v>
      </c>
      <c r="H74" s="132">
        <v>0.23</v>
      </c>
      <c r="I74" s="132"/>
      <c r="J74" s="67">
        <f t="shared" si="1"/>
        <v>953.27</v>
      </c>
      <c r="K74" s="3"/>
      <c r="L74" s="45"/>
      <c r="M74" s="45"/>
      <c r="N74" s="137"/>
      <c r="O74" s="137"/>
    </row>
    <row r="75" customHeight="1" spans="1:15">
      <c r="A75" s="7" t="s">
        <v>38</v>
      </c>
      <c r="B75" s="7" t="s">
        <v>228</v>
      </c>
      <c r="C75" s="8">
        <v>50</v>
      </c>
      <c r="D75" s="133">
        <v>45349</v>
      </c>
      <c r="E75" s="134">
        <v>9.34</v>
      </c>
      <c r="F75" s="134">
        <f t="shared" si="0"/>
        <v>467</v>
      </c>
      <c r="G75" s="134">
        <v>0.02</v>
      </c>
      <c r="H75" s="134">
        <v>0.11</v>
      </c>
      <c r="I75" s="134"/>
      <c r="J75" s="138">
        <f t="shared" si="1"/>
        <v>467.13</v>
      </c>
      <c r="K75" s="7"/>
      <c r="L75" s="45"/>
      <c r="M75" s="45"/>
      <c r="N75" s="137"/>
      <c r="O75" s="137"/>
    </row>
    <row r="76" customHeight="1" spans="1:15">
      <c r="A76" s="3" t="s">
        <v>40</v>
      </c>
      <c r="B76" s="3" t="s">
        <v>228</v>
      </c>
      <c r="C76" s="4">
        <v>50</v>
      </c>
      <c r="D76" s="131">
        <v>45337</v>
      </c>
      <c r="E76" s="132">
        <v>9.39</v>
      </c>
      <c r="F76" s="132">
        <f t="shared" si="0"/>
        <v>469.5</v>
      </c>
      <c r="G76" s="132">
        <v>0.02</v>
      </c>
      <c r="H76" s="132">
        <v>0.11</v>
      </c>
      <c r="I76" s="132"/>
      <c r="J76" s="67">
        <f t="shared" si="1"/>
        <v>469.63</v>
      </c>
      <c r="K76" s="3"/>
      <c r="L76" s="45"/>
      <c r="M76" s="45"/>
      <c r="N76" s="137"/>
      <c r="O76" s="137"/>
    </row>
    <row r="77" customHeight="1" spans="1:15">
      <c r="A77" s="7" t="s">
        <v>40</v>
      </c>
      <c r="B77" s="7" t="s">
        <v>228</v>
      </c>
      <c r="C77" s="8">
        <v>50</v>
      </c>
      <c r="D77" s="133">
        <v>45323</v>
      </c>
      <c r="E77" s="134">
        <v>9.4</v>
      </c>
      <c r="F77" s="134">
        <f t="shared" si="0"/>
        <v>470</v>
      </c>
      <c r="G77" s="134">
        <v>0.03</v>
      </c>
      <c r="H77" s="134">
        <v>0.11</v>
      </c>
      <c r="I77" s="134"/>
      <c r="J77" s="138">
        <f t="shared" si="1"/>
        <v>470.14</v>
      </c>
      <c r="K77" s="7"/>
      <c r="L77" s="45"/>
      <c r="M77" s="45"/>
      <c r="N77" s="137"/>
      <c r="O77" s="137"/>
    </row>
    <row r="78" customHeight="1" spans="1:15">
      <c r="A78" s="3" t="s">
        <v>38</v>
      </c>
      <c r="B78" s="3" t="s">
        <v>228</v>
      </c>
      <c r="C78" s="4">
        <v>50</v>
      </c>
      <c r="D78" s="131">
        <v>45323</v>
      </c>
      <c r="E78" s="132">
        <v>9.4</v>
      </c>
      <c r="F78" s="132">
        <f t="shared" si="0"/>
        <v>470</v>
      </c>
      <c r="G78" s="132">
        <v>0.03</v>
      </c>
      <c r="H78" s="132">
        <v>0.12</v>
      </c>
      <c r="I78" s="132"/>
      <c r="J78" s="67">
        <f t="shared" si="1"/>
        <v>470.15</v>
      </c>
      <c r="K78" s="3"/>
      <c r="L78" s="45"/>
      <c r="M78" s="45"/>
      <c r="N78" s="137"/>
      <c r="O78" s="137"/>
    </row>
    <row r="79" customHeight="1" spans="1:15">
      <c r="A79" s="7" t="s">
        <v>43</v>
      </c>
      <c r="B79" s="7" t="s">
        <v>228</v>
      </c>
      <c r="C79" s="8">
        <v>10</v>
      </c>
      <c r="D79" s="133">
        <v>45322</v>
      </c>
      <c r="E79" s="134">
        <v>105.77</v>
      </c>
      <c r="F79" s="134">
        <f t="shared" si="0"/>
        <v>1057.7</v>
      </c>
      <c r="G79" s="134">
        <v>0.05</v>
      </c>
      <c r="H79" s="134">
        <v>0.26</v>
      </c>
      <c r="I79" s="134"/>
      <c r="J79" s="138">
        <f t="shared" si="1"/>
        <v>1058.01</v>
      </c>
      <c r="K79" s="7"/>
      <c r="L79" s="45"/>
      <c r="M79" s="45"/>
      <c r="N79" s="137"/>
      <c r="O79" s="137"/>
    </row>
    <row r="80" customHeight="1" spans="1:15">
      <c r="A80" s="3" t="s">
        <v>36</v>
      </c>
      <c r="B80" s="3" t="s">
        <v>228</v>
      </c>
      <c r="C80" s="4">
        <v>10</v>
      </c>
      <c r="D80" s="131">
        <v>45321</v>
      </c>
      <c r="E80" s="132">
        <v>90.15</v>
      </c>
      <c r="F80" s="132">
        <f t="shared" si="0"/>
        <v>901.5</v>
      </c>
      <c r="G80" s="132">
        <v>0.04</v>
      </c>
      <c r="H80" s="132">
        <v>0.22</v>
      </c>
      <c r="I80" s="132"/>
      <c r="J80" s="67">
        <f t="shared" si="1"/>
        <v>901.76</v>
      </c>
      <c r="K80" s="3"/>
      <c r="L80" s="45"/>
      <c r="M80" s="45"/>
      <c r="N80" s="137"/>
      <c r="O80" s="137"/>
    </row>
    <row r="81" customHeight="1" spans="1:15">
      <c r="A81" s="7" t="s">
        <v>40</v>
      </c>
      <c r="B81" s="7" t="s">
        <v>228</v>
      </c>
      <c r="C81" s="8">
        <v>50</v>
      </c>
      <c r="D81" s="133">
        <v>45320</v>
      </c>
      <c r="E81" s="134">
        <v>9.48</v>
      </c>
      <c r="F81" s="134">
        <f t="shared" si="0"/>
        <v>474</v>
      </c>
      <c r="G81" s="134">
        <v>0.02</v>
      </c>
      <c r="H81" s="134">
        <v>0.11</v>
      </c>
      <c r="I81" s="134"/>
      <c r="J81" s="138">
        <f t="shared" si="1"/>
        <v>474.13</v>
      </c>
      <c r="K81" s="7"/>
      <c r="L81" s="45"/>
      <c r="M81" s="45"/>
      <c r="N81" s="137"/>
      <c r="O81" s="137"/>
    </row>
    <row r="82" customHeight="1" spans="1:15">
      <c r="A82" s="3" t="s">
        <v>36</v>
      </c>
      <c r="B82" s="3" t="s">
        <v>228</v>
      </c>
      <c r="C82" s="4">
        <v>10</v>
      </c>
      <c r="D82" s="131">
        <v>45315</v>
      </c>
      <c r="E82" s="132">
        <v>91.16</v>
      </c>
      <c r="F82" s="132">
        <f t="shared" si="0"/>
        <v>911.6</v>
      </c>
      <c r="G82" s="132">
        <v>0.04</v>
      </c>
      <c r="H82" s="132">
        <v>0.22</v>
      </c>
      <c r="I82" s="132"/>
      <c r="J82" s="67">
        <f t="shared" si="1"/>
        <v>911.86</v>
      </c>
      <c r="K82" s="3"/>
      <c r="L82" s="45"/>
      <c r="M82" s="45"/>
      <c r="N82" s="137"/>
      <c r="O82" s="137"/>
    </row>
    <row r="83" customHeight="1" spans="1:15">
      <c r="A83" s="7" t="s">
        <v>40</v>
      </c>
      <c r="B83" s="7" t="s">
        <v>228</v>
      </c>
      <c r="C83" s="8">
        <v>50</v>
      </c>
      <c r="D83" s="133">
        <v>45313</v>
      </c>
      <c r="E83" s="134">
        <v>9.48</v>
      </c>
      <c r="F83" s="134">
        <f t="shared" si="0"/>
        <v>474</v>
      </c>
      <c r="G83" s="134">
        <v>0.02</v>
      </c>
      <c r="H83" s="134">
        <v>0.12</v>
      </c>
      <c r="I83" s="134"/>
      <c r="J83" s="138">
        <f t="shared" si="1"/>
        <v>474.14</v>
      </c>
      <c r="K83" s="7"/>
      <c r="L83" s="45"/>
      <c r="M83" s="45"/>
      <c r="N83" s="137"/>
      <c r="O83" s="137"/>
    </row>
    <row r="84" customHeight="1" spans="1:15">
      <c r="A84" s="3" t="s">
        <v>36</v>
      </c>
      <c r="B84" s="3" t="s">
        <v>228</v>
      </c>
      <c r="C84" s="4">
        <v>10</v>
      </c>
      <c r="D84" s="131">
        <v>45313</v>
      </c>
      <c r="E84" s="132">
        <v>91.63</v>
      </c>
      <c r="F84" s="132">
        <f t="shared" si="0"/>
        <v>916.3</v>
      </c>
      <c r="G84" s="132">
        <v>0.04</v>
      </c>
      <c r="H84" s="132">
        <v>0.22</v>
      </c>
      <c r="I84" s="132"/>
      <c r="J84" s="67">
        <f t="shared" si="1"/>
        <v>916.56</v>
      </c>
      <c r="K84" s="3"/>
      <c r="L84" s="45"/>
      <c r="M84" s="45"/>
      <c r="N84" s="137"/>
      <c r="O84" s="137"/>
    </row>
    <row r="85" customHeight="1" spans="1:15">
      <c r="A85" s="7" t="s">
        <v>40</v>
      </c>
      <c r="B85" s="7" t="s">
        <v>228</v>
      </c>
      <c r="C85" s="8">
        <v>150</v>
      </c>
      <c r="D85" s="133">
        <v>45308</v>
      </c>
      <c r="E85" s="134">
        <v>9.48</v>
      </c>
      <c r="F85" s="134">
        <f t="shared" si="0"/>
        <v>1422</v>
      </c>
      <c r="G85" s="134">
        <v>0.07</v>
      </c>
      <c r="H85" s="134">
        <v>0.35</v>
      </c>
      <c r="I85" s="134"/>
      <c r="J85" s="138">
        <f t="shared" si="1"/>
        <v>1422.42</v>
      </c>
      <c r="K85" s="7"/>
      <c r="L85" s="45"/>
      <c r="M85" s="45"/>
      <c r="N85" s="137"/>
      <c r="O85" s="137"/>
    </row>
    <row r="86" customHeight="1" spans="1:15">
      <c r="A86" s="3" t="s">
        <v>43</v>
      </c>
      <c r="B86" s="3" t="s">
        <v>228</v>
      </c>
      <c r="C86" s="4">
        <v>15</v>
      </c>
      <c r="D86" s="131">
        <v>45296</v>
      </c>
      <c r="E86" s="132">
        <v>106.85</v>
      </c>
      <c r="F86" s="132">
        <f t="shared" si="0"/>
        <v>1602.75</v>
      </c>
      <c r="G86" s="132">
        <v>0.08</v>
      </c>
      <c r="H86" s="132">
        <v>0.4</v>
      </c>
      <c r="I86" s="132"/>
      <c r="J86" s="67">
        <f t="shared" si="1"/>
        <v>1603.23</v>
      </c>
      <c r="K86" s="3"/>
      <c r="L86" s="45"/>
      <c r="M86" s="45"/>
      <c r="N86" s="137"/>
      <c r="O86" s="137"/>
    </row>
    <row r="87" customHeight="1" spans="1:15">
      <c r="A87" s="7" t="s">
        <v>28</v>
      </c>
      <c r="B87" s="7" t="s">
        <v>228</v>
      </c>
      <c r="C87" s="8">
        <v>50</v>
      </c>
      <c r="D87" s="133">
        <v>45294</v>
      </c>
      <c r="E87" s="134">
        <v>7.56</v>
      </c>
      <c r="F87" s="134">
        <f t="shared" si="0"/>
        <v>378</v>
      </c>
      <c r="G87" s="134">
        <v>0.02</v>
      </c>
      <c r="H87" s="134">
        <v>0.09</v>
      </c>
      <c r="I87" s="134"/>
      <c r="J87" s="138">
        <f t="shared" si="1"/>
        <v>378.11</v>
      </c>
      <c r="K87" s="7"/>
      <c r="L87" s="45"/>
      <c r="M87" s="45"/>
      <c r="N87" s="137"/>
      <c r="O87" s="137"/>
    </row>
    <row r="88" customHeight="1" spans="1:15">
      <c r="A88" s="3" t="s">
        <v>33</v>
      </c>
      <c r="B88" s="3" t="s">
        <v>228</v>
      </c>
      <c r="C88" s="4">
        <v>10</v>
      </c>
      <c r="D88" s="131">
        <v>45294</v>
      </c>
      <c r="E88" s="132">
        <v>99.52</v>
      </c>
      <c r="F88" s="132">
        <f t="shared" si="0"/>
        <v>995.2</v>
      </c>
      <c r="G88" s="132">
        <v>0.05</v>
      </c>
      <c r="H88" s="132">
        <v>0.25</v>
      </c>
      <c r="I88" s="132"/>
      <c r="J88" s="67">
        <f t="shared" si="1"/>
        <v>995.5</v>
      </c>
      <c r="K88" s="3"/>
      <c r="L88" s="45"/>
      <c r="M88" s="45"/>
      <c r="N88" s="137"/>
      <c r="O88" s="137"/>
    </row>
    <row r="89" customHeight="1" spans="1:15">
      <c r="A89" s="7" t="s">
        <v>31</v>
      </c>
      <c r="B89" s="7" t="s">
        <v>228</v>
      </c>
      <c r="C89" s="8">
        <v>10</v>
      </c>
      <c r="D89" s="133">
        <v>45294</v>
      </c>
      <c r="E89" s="134">
        <v>84.21</v>
      </c>
      <c r="F89" s="134">
        <f t="shared" si="0"/>
        <v>842.1</v>
      </c>
      <c r="G89" s="134">
        <v>0.04</v>
      </c>
      <c r="H89" s="134">
        <v>0.21</v>
      </c>
      <c r="I89" s="134"/>
      <c r="J89" s="138">
        <f t="shared" si="1"/>
        <v>842.35</v>
      </c>
      <c r="K89" s="7"/>
      <c r="L89" s="45"/>
      <c r="M89" s="45"/>
      <c r="N89" s="137"/>
      <c r="O89" s="137"/>
    </row>
    <row r="90" customHeight="1" spans="1:15">
      <c r="A90" s="3" t="s">
        <v>26</v>
      </c>
      <c r="B90" s="3" t="s">
        <v>228</v>
      </c>
      <c r="C90" s="4">
        <v>90</v>
      </c>
      <c r="D90" s="131">
        <v>45268</v>
      </c>
      <c r="E90" s="132">
        <f>79.7/9</f>
        <v>8.85555555555556</v>
      </c>
      <c r="F90" s="132">
        <f t="shared" si="0"/>
        <v>797</v>
      </c>
      <c r="G90" s="132">
        <v>0.03</v>
      </c>
      <c r="H90" s="132">
        <v>0.19</v>
      </c>
      <c r="I90" s="132"/>
      <c r="J90" s="67">
        <f t="shared" si="1"/>
        <v>797.22</v>
      </c>
      <c r="K90" s="3"/>
      <c r="L90" s="45"/>
      <c r="M90" s="45"/>
      <c r="N90" s="137"/>
      <c r="O90" s="137"/>
    </row>
    <row r="91" customHeight="1" spans="1:15">
      <c r="A91" s="7" t="s">
        <v>22</v>
      </c>
      <c r="B91" s="7" t="s">
        <v>228</v>
      </c>
      <c r="C91" s="8">
        <v>10</v>
      </c>
      <c r="D91" s="133">
        <v>45260</v>
      </c>
      <c r="E91" s="134">
        <v>91.2</v>
      </c>
      <c r="F91" s="134">
        <f t="shared" si="0"/>
        <v>912</v>
      </c>
      <c r="G91" s="134">
        <v>0.05</v>
      </c>
      <c r="H91" s="134">
        <v>0.23</v>
      </c>
      <c r="I91" s="134"/>
      <c r="J91" s="138">
        <f t="shared" si="1"/>
        <v>912.28</v>
      </c>
      <c r="K91" s="7"/>
      <c r="L91" s="45"/>
      <c r="M91" s="45"/>
      <c r="N91" s="137"/>
      <c r="O91" s="137"/>
    </row>
    <row r="92" customHeight="1" spans="1:15">
      <c r="A92" s="3" t="s">
        <v>25</v>
      </c>
      <c r="B92" s="3" t="s">
        <v>228</v>
      </c>
      <c r="C92" s="4">
        <v>10</v>
      </c>
      <c r="D92" s="131">
        <v>45260</v>
      </c>
      <c r="E92" s="132">
        <v>87.31</v>
      </c>
      <c r="F92" s="132">
        <f t="shared" si="0"/>
        <v>873.1</v>
      </c>
      <c r="G92" s="132">
        <v>0.04</v>
      </c>
      <c r="H92" s="132">
        <v>0.22</v>
      </c>
      <c r="I92" s="132"/>
      <c r="J92" s="67">
        <f t="shared" si="1"/>
        <v>873.36</v>
      </c>
      <c r="K92" s="3"/>
      <c r="L92" s="45"/>
      <c r="M92" s="45"/>
      <c r="N92" s="137"/>
      <c r="O92" s="137"/>
    </row>
    <row r="93" customHeight="1" spans="1:15">
      <c r="A93" s="7" t="s">
        <v>31</v>
      </c>
      <c r="B93" s="7" t="s">
        <v>228</v>
      </c>
      <c r="C93" s="8">
        <v>10</v>
      </c>
      <c r="D93" s="133">
        <v>45260</v>
      </c>
      <c r="E93" s="134">
        <v>84.6</v>
      </c>
      <c r="F93" s="134">
        <f t="shared" si="0"/>
        <v>846</v>
      </c>
      <c r="G93" s="134">
        <v>0.04</v>
      </c>
      <c r="H93" s="134">
        <v>0.21</v>
      </c>
      <c r="I93" s="134"/>
      <c r="J93" s="138">
        <f t="shared" si="1"/>
        <v>846.25</v>
      </c>
      <c r="K93" s="7"/>
      <c r="L93" s="45"/>
      <c r="M93" s="45"/>
      <c r="N93" s="137"/>
      <c r="O93" s="137"/>
    </row>
    <row r="94" customHeight="1" spans="1:15">
      <c r="A94" s="3" t="s">
        <v>25</v>
      </c>
      <c r="B94" s="3" t="s">
        <v>228</v>
      </c>
      <c r="C94" s="4">
        <v>10</v>
      </c>
      <c r="D94" s="131">
        <v>45259</v>
      </c>
      <c r="E94" s="132">
        <v>87.95</v>
      </c>
      <c r="F94" s="132">
        <f t="shared" si="0"/>
        <v>879.5</v>
      </c>
      <c r="G94" s="132">
        <v>0.04</v>
      </c>
      <c r="H94" s="132">
        <v>0.22</v>
      </c>
      <c r="I94" s="132"/>
      <c r="J94" s="67">
        <f t="shared" si="1"/>
        <v>879.76</v>
      </c>
      <c r="K94" s="3"/>
      <c r="L94" s="45"/>
      <c r="M94" s="45"/>
      <c r="N94" s="137"/>
      <c r="O94" s="137"/>
    </row>
    <row r="95" customHeight="1" spans="1:15">
      <c r="A95" s="7" t="s">
        <v>24</v>
      </c>
      <c r="B95" s="7" t="s">
        <v>228</v>
      </c>
      <c r="C95" s="8">
        <v>10</v>
      </c>
      <c r="D95" s="133">
        <v>45259</v>
      </c>
      <c r="E95" s="134">
        <v>87.78</v>
      </c>
      <c r="F95" s="134">
        <f t="shared" si="0"/>
        <v>877.8</v>
      </c>
      <c r="G95" s="134">
        <v>0.04</v>
      </c>
      <c r="H95" s="134">
        <v>0.21</v>
      </c>
      <c r="I95" s="134"/>
      <c r="J95" s="138">
        <f t="shared" si="1"/>
        <v>878.05</v>
      </c>
      <c r="K95" s="7"/>
      <c r="L95" s="45"/>
      <c r="M95" s="45"/>
      <c r="N95" s="137"/>
      <c r="O95" s="137"/>
    </row>
    <row r="96" customHeight="1" spans="1:15">
      <c r="A96" s="3" t="s">
        <v>23</v>
      </c>
      <c r="B96" s="3" t="s">
        <v>228</v>
      </c>
      <c r="C96" s="4">
        <v>10</v>
      </c>
      <c r="D96" s="131">
        <v>45257</v>
      </c>
      <c r="E96" s="132">
        <v>87.3</v>
      </c>
      <c r="F96" s="132">
        <f t="shared" si="0"/>
        <v>873</v>
      </c>
      <c r="G96" s="132">
        <v>0.04</v>
      </c>
      <c r="H96" s="132">
        <v>0.21</v>
      </c>
      <c r="I96" s="132"/>
      <c r="J96" s="67">
        <f t="shared" si="1"/>
        <v>873.25</v>
      </c>
      <c r="K96" s="3"/>
      <c r="L96" s="45"/>
      <c r="M96" s="45"/>
      <c r="N96" s="137"/>
      <c r="O96" s="137"/>
    </row>
    <row r="97" customHeight="1" spans="1:15">
      <c r="A97" s="7" t="s">
        <v>24</v>
      </c>
      <c r="B97" s="7" t="s">
        <v>228</v>
      </c>
      <c r="C97" s="8">
        <v>10</v>
      </c>
      <c r="D97" s="133">
        <v>45257</v>
      </c>
      <c r="E97" s="134">
        <v>88.1</v>
      </c>
      <c r="F97" s="134">
        <f t="shared" si="0"/>
        <v>881</v>
      </c>
      <c r="G97" s="134">
        <v>0.04</v>
      </c>
      <c r="H97" s="134">
        <v>0.22</v>
      </c>
      <c r="I97" s="134"/>
      <c r="J97" s="138">
        <f t="shared" si="1"/>
        <v>881.26</v>
      </c>
      <c r="K97" s="7"/>
      <c r="L97" s="45"/>
      <c r="M97" s="45"/>
      <c r="N97" s="137"/>
      <c r="O97" s="137"/>
    </row>
    <row r="98" customHeight="1" spans="1:15">
      <c r="A98" s="3" t="s">
        <v>32</v>
      </c>
      <c r="B98" s="3" t="s">
        <v>228</v>
      </c>
      <c r="C98" s="4">
        <v>10</v>
      </c>
      <c r="D98" s="131">
        <v>45254</v>
      </c>
      <c r="E98" s="132">
        <v>79.12</v>
      </c>
      <c r="F98" s="132">
        <f t="shared" si="0"/>
        <v>791.2</v>
      </c>
      <c r="G98" s="132">
        <v>0.03</v>
      </c>
      <c r="H98" s="132">
        <v>0.19</v>
      </c>
      <c r="I98" s="132"/>
      <c r="J98" s="67">
        <f t="shared" si="1"/>
        <v>791.42</v>
      </c>
      <c r="K98" s="3"/>
      <c r="L98" s="45"/>
      <c r="M98" s="45"/>
      <c r="N98" s="137"/>
      <c r="O98" s="137"/>
    </row>
    <row r="99" customHeight="1" spans="1:15">
      <c r="A99" s="7" t="s">
        <v>25</v>
      </c>
      <c r="B99" s="7" t="s">
        <v>228</v>
      </c>
      <c r="C99" s="8">
        <v>10</v>
      </c>
      <c r="D99" s="133">
        <v>45253</v>
      </c>
      <c r="E99" s="134">
        <v>87.98</v>
      </c>
      <c r="F99" s="134">
        <f t="shared" si="0"/>
        <v>879.8</v>
      </c>
      <c r="G99" s="134">
        <v>0.04</v>
      </c>
      <c r="H99" s="134">
        <v>0.21</v>
      </c>
      <c r="I99" s="134"/>
      <c r="J99" s="138">
        <f t="shared" si="1"/>
        <v>880.05</v>
      </c>
      <c r="K99" s="7"/>
      <c r="L99" s="45"/>
      <c r="M99" s="45"/>
      <c r="N99" s="137"/>
      <c r="O99" s="137"/>
    </row>
    <row r="100" customHeight="1" spans="1:15">
      <c r="A100" s="3" t="s">
        <v>22</v>
      </c>
      <c r="B100" s="3" t="s">
        <v>228</v>
      </c>
      <c r="C100" s="4">
        <v>10</v>
      </c>
      <c r="D100" s="131">
        <v>45247</v>
      </c>
      <c r="E100" s="132">
        <v>91.43</v>
      </c>
      <c r="F100" s="132">
        <f t="shared" si="0"/>
        <v>914.3</v>
      </c>
      <c r="G100" s="132">
        <v>0.04</v>
      </c>
      <c r="H100" s="132">
        <v>0.22</v>
      </c>
      <c r="I100" s="132"/>
      <c r="J100" s="67">
        <f t="shared" si="1"/>
        <v>914.56</v>
      </c>
      <c r="K100" s="3"/>
      <c r="L100" s="45"/>
      <c r="M100" s="45"/>
      <c r="N100" s="137"/>
      <c r="O100" s="137"/>
    </row>
    <row r="101" customHeight="1" spans="1:15">
      <c r="A101" s="7" t="s">
        <v>25</v>
      </c>
      <c r="B101" s="7" t="s">
        <v>228</v>
      </c>
      <c r="C101" s="8">
        <v>6</v>
      </c>
      <c r="D101" s="133">
        <v>45247</v>
      </c>
      <c r="E101" s="134">
        <v>87.5</v>
      </c>
      <c r="F101" s="134">
        <f t="shared" si="0"/>
        <v>525</v>
      </c>
      <c r="G101" s="134">
        <v>0.03</v>
      </c>
      <c r="H101" s="134">
        <v>0.13</v>
      </c>
      <c r="I101" s="134"/>
      <c r="J101" s="138">
        <f t="shared" si="1"/>
        <v>525.16</v>
      </c>
      <c r="K101" s="7"/>
      <c r="L101" s="45"/>
      <c r="M101" s="45"/>
      <c r="N101" s="137"/>
      <c r="O101" s="137"/>
    </row>
    <row r="102" customHeight="1" spans="1:15">
      <c r="A102" s="3" t="s">
        <v>32</v>
      </c>
      <c r="B102" s="3" t="s">
        <v>228</v>
      </c>
      <c r="C102" s="4">
        <v>10</v>
      </c>
      <c r="D102" s="131">
        <v>45246</v>
      </c>
      <c r="E102" s="132">
        <v>81.45</v>
      </c>
      <c r="F102" s="132">
        <f t="shared" si="0"/>
        <v>814.5</v>
      </c>
      <c r="G102" s="132">
        <v>0.04</v>
      </c>
      <c r="H102" s="132">
        <v>0.2</v>
      </c>
      <c r="I102" s="132"/>
      <c r="J102" s="67">
        <f t="shared" si="1"/>
        <v>814.74</v>
      </c>
      <c r="K102" s="3"/>
      <c r="L102" s="45"/>
      <c r="M102" s="45"/>
      <c r="N102" s="137"/>
      <c r="O102" s="137"/>
    </row>
    <row r="103" customHeight="1" spans="1:15">
      <c r="A103" s="7" t="s">
        <v>25</v>
      </c>
      <c r="B103" s="7" t="s">
        <v>228</v>
      </c>
      <c r="C103" s="8">
        <v>10</v>
      </c>
      <c r="D103" s="133">
        <v>45246</v>
      </c>
      <c r="E103" s="134">
        <v>87.98</v>
      </c>
      <c r="F103" s="134">
        <f t="shared" si="0"/>
        <v>879.8</v>
      </c>
      <c r="G103" s="134">
        <v>0.04</v>
      </c>
      <c r="H103" s="134">
        <v>0.22</v>
      </c>
      <c r="I103" s="134"/>
      <c r="J103" s="138">
        <f t="shared" si="1"/>
        <v>880.06</v>
      </c>
      <c r="K103" s="7"/>
      <c r="L103" s="45"/>
      <c r="M103" s="45"/>
      <c r="N103" s="137"/>
      <c r="O103" s="137"/>
    </row>
    <row r="104" customHeight="1" spans="1:15">
      <c r="A104" s="3" t="s">
        <v>26</v>
      </c>
      <c r="B104" s="3" t="s">
        <v>228</v>
      </c>
      <c r="C104" s="4">
        <v>90</v>
      </c>
      <c r="D104" s="131">
        <v>45244</v>
      </c>
      <c r="E104" s="132">
        <f>79.51/9</f>
        <v>8.83444444444445</v>
      </c>
      <c r="F104" s="132">
        <f t="shared" si="0"/>
        <v>795.1</v>
      </c>
      <c r="G104" s="132">
        <v>0.03</v>
      </c>
      <c r="H104" s="132">
        <v>0.19</v>
      </c>
      <c r="I104" s="132"/>
      <c r="J104" s="67">
        <f t="shared" si="1"/>
        <v>795.32</v>
      </c>
      <c r="K104" s="3"/>
      <c r="L104" s="45"/>
      <c r="M104" s="45"/>
      <c r="N104" s="137"/>
      <c r="O104" s="137"/>
    </row>
    <row r="105" customHeight="1" spans="1:15">
      <c r="A105" s="7" t="s">
        <v>31</v>
      </c>
      <c r="B105" s="7" t="s">
        <v>228</v>
      </c>
      <c r="C105" s="8">
        <v>10</v>
      </c>
      <c r="D105" s="133">
        <v>45229</v>
      </c>
      <c r="E105" s="134">
        <v>82.27</v>
      </c>
      <c r="F105" s="134">
        <f t="shared" si="0"/>
        <v>822.7</v>
      </c>
      <c r="G105" s="134">
        <v>0.04</v>
      </c>
      <c r="H105" s="134">
        <v>0.2</v>
      </c>
      <c r="I105" s="134"/>
      <c r="J105" s="138">
        <f t="shared" si="1"/>
        <v>822.94</v>
      </c>
      <c r="K105" s="7"/>
      <c r="L105" s="45"/>
      <c r="M105" s="45"/>
      <c r="N105" s="137"/>
      <c r="O105" s="137"/>
    </row>
    <row r="106" customHeight="1" spans="1:15">
      <c r="A106" s="3" t="s">
        <v>28</v>
      </c>
      <c r="B106" s="3" t="s">
        <v>228</v>
      </c>
      <c r="C106" s="4">
        <v>100</v>
      </c>
      <c r="D106" s="131">
        <v>45229</v>
      </c>
      <c r="E106" s="132">
        <v>7.75</v>
      </c>
      <c r="F106" s="132">
        <f t="shared" si="0"/>
        <v>775</v>
      </c>
      <c r="G106" s="132">
        <v>0.03</v>
      </c>
      <c r="H106" s="132">
        <v>0.19</v>
      </c>
      <c r="I106" s="132"/>
      <c r="J106" s="67">
        <f t="shared" si="1"/>
        <v>775.22</v>
      </c>
      <c r="K106" s="3"/>
      <c r="L106" s="45"/>
      <c r="M106" s="45"/>
      <c r="N106" s="137"/>
      <c r="O106" s="137"/>
    </row>
    <row r="107" customHeight="1" spans="1:15">
      <c r="A107" s="7" t="s">
        <v>25</v>
      </c>
      <c r="B107" s="7" t="s">
        <v>228</v>
      </c>
      <c r="C107" s="8">
        <v>10</v>
      </c>
      <c r="D107" s="133">
        <v>45219</v>
      </c>
      <c r="E107" s="134">
        <v>85.9</v>
      </c>
      <c r="F107" s="134">
        <f t="shared" si="0"/>
        <v>859</v>
      </c>
      <c r="G107" s="134">
        <v>0.04</v>
      </c>
      <c r="H107" s="134">
        <v>0.21</v>
      </c>
      <c r="I107" s="134"/>
      <c r="J107" s="138">
        <f t="shared" si="1"/>
        <v>859.25</v>
      </c>
      <c r="K107" s="7"/>
      <c r="L107" s="45"/>
      <c r="M107" s="45"/>
      <c r="N107" s="137"/>
      <c r="O107" s="137"/>
    </row>
    <row r="108" customHeight="1" spans="1:15">
      <c r="A108" s="3" t="s">
        <v>20</v>
      </c>
      <c r="B108" s="3" t="s">
        <v>228</v>
      </c>
      <c r="C108" s="4">
        <v>10</v>
      </c>
      <c r="D108" s="131">
        <v>45218</v>
      </c>
      <c r="E108" s="132">
        <v>84.25</v>
      </c>
      <c r="F108" s="132">
        <f t="shared" si="0"/>
        <v>842.5</v>
      </c>
      <c r="G108" s="132">
        <v>0.04</v>
      </c>
      <c r="H108" s="132">
        <v>0.21</v>
      </c>
      <c r="I108" s="132"/>
      <c r="J108" s="67">
        <f t="shared" si="1"/>
        <v>842.75</v>
      </c>
      <c r="K108" s="3"/>
      <c r="L108" s="45"/>
      <c r="M108" s="45"/>
      <c r="N108" s="137"/>
      <c r="O108" s="137"/>
    </row>
    <row r="109" customHeight="1" spans="1:15">
      <c r="A109" s="7" t="s">
        <v>33</v>
      </c>
      <c r="B109" s="7" t="s">
        <v>228</v>
      </c>
      <c r="C109" s="8">
        <v>10</v>
      </c>
      <c r="D109" s="133">
        <v>45217</v>
      </c>
      <c r="E109" s="134">
        <v>99.1</v>
      </c>
      <c r="F109" s="134">
        <f t="shared" si="0"/>
        <v>991</v>
      </c>
      <c r="G109" s="134">
        <v>0.05</v>
      </c>
      <c r="H109" s="134">
        <v>0.25</v>
      </c>
      <c r="I109" s="134"/>
      <c r="J109" s="138">
        <f t="shared" si="1"/>
        <v>991.3</v>
      </c>
      <c r="K109" s="7"/>
      <c r="L109" s="45"/>
      <c r="M109" s="45"/>
      <c r="N109" s="137"/>
      <c r="O109" s="137"/>
    </row>
    <row r="110" customHeight="1" spans="1:15">
      <c r="A110" s="3" t="s">
        <v>25</v>
      </c>
      <c r="B110" s="3" t="s">
        <v>228</v>
      </c>
      <c r="C110" s="4">
        <v>10</v>
      </c>
      <c r="D110" s="131">
        <v>45217</v>
      </c>
      <c r="E110" s="132">
        <v>87.6</v>
      </c>
      <c r="F110" s="132">
        <f t="shared" si="0"/>
        <v>876</v>
      </c>
      <c r="G110" s="132">
        <v>0.04</v>
      </c>
      <c r="H110" s="132">
        <v>0.21</v>
      </c>
      <c r="I110" s="132"/>
      <c r="J110" s="67">
        <f t="shared" si="1"/>
        <v>876.25</v>
      </c>
      <c r="K110" s="3"/>
      <c r="L110" s="45"/>
      <c r="M110" s="45"/>
      <c r="N110" s="137"/>
      <c r="O110" s="137"/>
    </row>
    <row r="111" customHeight="1" spans="1:15">
      <c r="A111" s="7" t="s">
        <v>31</v>
      </c>
      <c r="B111" s="7" t="s">
        <v>228</v>
      </c>
      <c r="C111" s="8">
        <v>10</v>
      </c>
      <c r="D111" s="133">
        <v>45209</v>
      </c>
      <c r="E111" s="134">
        <v>82.68</v>
      </c>
      <c r="F111" s="134">
        <f t="shared" si="0"/>
        <v>826.8</v>
      </c>
      <c r="G111" s="134">
        <v>0.04</v>
      </c>
      <c r="H111" s="134">
        <v>0.2</v>
      </c>
      <c r="I111" s="134"/>
      <c r="J111" s="138">
        <f t="shared" si="1"/>
        <v>827.04</v>
      </c>
      <c r="K111" s="7"/>
      <c r="L111" s="45"/>
      <c r="M111" s="45"/>
      <c r="N111" s="137"/>
      <c r="O111" s="137"/>
    </row>
    <row r="112" customHeight="1" spans="1:15">
      <c r="A112" s="3" t="s">
        <v>28</v>
      </c>
      <c r="B112" s="3" t="s">
        <v>228</v>
      </c>
      <c r="C112" s="4">
        <v>100</v>
      </c>
      <c r="D112" s="131">
        <v>45202</v>
      </c>
      <c r="E112" s="132">
        <v>8.3</v>
      </c>
      <c r="F112" s="132">
        <f t="shared" si="0"/>
        <v>830</v>
      </c>
      <c r="G112" s="132">
        <v>0.04</v>
      </c>
      <c r="H112" s="132">
        <v>0.2</v>
      </c>
      <c r="I112" s="132"/>
      <c r="J112" s="67">
        <f t="shared" si="1"/>
        <v>830.24</v>
      </c>
      <c r="K112" s="3"/>
      <c r="L112" s="45"/>
      <c r="M112" s="45"/>
      <c r="N112" s="137"/>
      <c r="O112" s="137"/>
    </row>
    <row r="113" customHeight="1" spans="1:15">
      <c r="A113" s="7" t="s">
        <v>25</v>
      </c>
      <c r="B113" s="7" t="s">
        <v>228</v>
      </c>
      <c r="C113" s="8">
        <v>10</v>
      </c>
      <c r="D113" s="133">
        <v>45202</v>
      </c>
      <c r="E113" s="134">
        <v>88.5</v>
      </c>
      <c r="F113" s="134">
        <f t="shared" si="0"/>
        <v>885</v>
      </c>
      <c r="G113" s="134">
        <v>0.04</v>
      </c>
      <c r="H113" s="134">
        <v>0.22</v>
      </c>
      <c r="I113" s="134"/>
      <c r="J113" s="138">
        <f t="shared" si="1"/>
        <v>885.26</v>
      </c>
      <c r="K113" s="7"/>
      <c r="L113" s="45"/>
      <c r="M113" s="45"/>
      <c r="N113" s="137"/>
      <c r="O113" s="137"/>
    </row>
    <row r="114" customHeight="1" spans="1:15">
      <c r="A114" s="3" t="s">
        <v>32</v>
      </c>
      <c r="B114" s="3" t="s">
        <v>228</v>
      </c>
      <c r="C114" s="4">
        <v>10</v>
      </c>
      <c r="D114" s="131">
        <v>45201</v>
      </c>
      <c r="E114" s="132">
        <v>80.4</v>
      </c>
      <c r="F114" s="132">
        <f t="shared" si="0"/>
        <v>804</v>
      </c>
      <c r="G114" s="132">
        <v>0.04</v>
      </c>
      <c r="H114" s="132">
        <v>0.2</v>
      </c>
      <c r="I114" s="132"/>
      <c r="J114" s="67">
        <f t="shared" si="1"/>
        <v>804.24</v>
      </c>
      <c r="K114" s="3"/>
      <c r="L114" s="45"/>
      <c r="M114" s="45"/>
      <c r="N114" s="137"/>
      <c r="O114" s="137"/>
    </row>
    <row r="115" customHeight="1" spans="1:15">
      <c r="A115" s="7" t="s">
        <v>31</v>
      </c>
      <c r="B115" s="7" t="s">
        <v>228</v>
      </c>
      <c r="C115" s="8">
        <v>10</v>
      </c>
      <c r="D115" s="133">
        <v>45201</v>
      </c>
      <c r="E115" s="134">
        <v>84.71</v>
      </c>
      <c r="F115" s="134">
        <f t="shared" si="0"/>
        <v>847.1</v>
      </c>
      <c r="G115" s="134">
        <v>0.04</v>
      </c>
      <c r="H115" s="134">
        <v>0.21</v>
      </c>
      <c r="I115" s="134"/>
      <c r="J115" s="138">
        <f t="shared" si="1"/>
        <v>847.35</v>
      </c>
      <c r="K115" s="7"/>
      <c r="L115" s="45"/>
      <c r="M115" s="45"/>
      <c r="N115" s="137"/>
      <c r="O115" s="137"/>
    </row>
    <row r="116" customHeight="1" spans="1:15">
      <c r="A116" s="3" t="s">
        <v>20</v>
      </c>
      <c r="B116" s="3" t="s">
        <v>228</v>
      </c>
      <c r="C116" s="4">
        <v>10</v>
      </c>
      <c r="D116" s="131">
        <v>45201</v>
      </c>
      <c r="E116" s="132">
        <v>86.98</v>
      </c>
      <c r="F116" s="132">
        <f t="shared" si="0"/>
        <v>869.8</v>
      </c>
      <c r="G116" s="132">
        <v>0.04</v>
      </c>
      <c r="H116" s="132">
        <v>0.22</v>
      </c>
      <c r="I116" s="132"/>
      <c r="J116" s="67">
        <f t="shared" si="1"/>
        <v>870.06</v>
      </c>
      <c r="K116" s="3"/>
      <c r="L116" s="45"/>
      <c r="M116" s="45"/>
      <c r="N116" s="137"/>
      <c r="O116" s="137"/>
    </row>
    <row r="117" customHeight="1" spans="1:15">
      <c r="A117" s="7" t="s">
        <v>31</v>
      </c>
      <c r="B117" s="7" t="s">
        <v>228</v>
      </c>
      <c r="C117" s="8">
        <v>10</v>
      </c>
      <c r="D117" s="133">
        <v>45198</v>
      </c>
      <c r="E117" s="134">
        <v>85.01</v>
      </c>
      <c r="F117" s="134">
        <f t="shared" si="0"/>
        <v>850.1</v>
      </c>
      <c r="G117" s="134">
        <v>0.04</v>
      </c>
      <c r="H117" s="134">
        <v>0.21</v>
      </c>
      <c r="I117" s="134"/>
      <c r="J117" s="138">
        <f t="shared" si="1"/>
        <v>850.35</v>
      </c>
      <c r="K117" s="7"/>
      <c r="L117" s="45"/>
      <c r="M117" s="45"/>
      <c r="N117" s="137"/>
      <c r="O117" s="137"/>
    </row>
    <row r="118" customHeight="1" spans="1:15">
      <c r="A118" s="3" t="s">
        <v>32</v>
      </c>
      <c r="B118" s="3" t="s">
        <v>228</v>
      </c>
      <c r="C118" s="4">
        <v>10</v>
      </c>
      <c r="D118" s="131">
        <v>45198</v>
      </c>
      <c r="E118" s="132">
        <v>84.15</v>
      </c>
      <c r="F118" s="132">
        <f t="shared" si="0"/>
        <v>841.5</v>
      </c>
      <c r="G118" s="132">
        <v>0.04</v>
      </c>
      <c r="H118" s="132">
        <v>0.21</v>
      </c>
      <c r="I118" s="132"/>
      <c r="J118" s="67">
        <f t="shared" si="1"/>
        <v>841.75</v>
      </c>
      <c r="K118" s="3"/>
      <c r="L118" s="45"/>
      <c r="M118" s="45"/>
      <c r="N118" s="137"/>
      <c r="O118" s="137"/>
    </row>
    <row r="119" customHeight="1" spans="1:15">
      <c r="A119" s="7" t="s">
        <v>32</v>
      </c>
      <c r="B119" s="7" t="s">
        <v>228</v>
      </c>
      <c r="C119" s="8">
        <v>10</v>
      </c>
      <c r="D119" s="133">
        <v>45188</v>
      </c>
      <c r="E119" s="134">
        <v>84.5</v>
      </c>
      <c r="F119" s="134">
        <f t="shared" si="0"/>
        <v>845</v>
      </c>
      <c r="G119" s="134">
        <v>0.04</v>
      </c>
      <c r="H119" s="134">
        <v>0.21</v>
      </c>
      <c r="I119" s="134"/>
      <c r="J119" s="138">
        <f t="shared" si="1"/>
        <v>845.25</v>
      </c>
      <c r="K119" s="7"/>
      <c r="L119" s="45"/>
      <c r="M119" s="45"/>
      <c r="N119" s="137"/>
      <c r="O119" s="137"/>
    </row>
    <row r="120" customHeight="1" spans="1:15">
      <c r="A120" s="3" t="s">
        <v>31</v>
      </c>
      <c r="B120" s="3" t="s">
        <v>228</v>
      </c>
      <c r="C120" s="4">
        <v>10</v>
      </c>
      <c r="D120" s="131">
        <v>45188</v>
      </c>
      <c r="E120" s="132">
        <v>87.69</v>
      </c>
      <c r="F120" s="132">
        <f t="shared" si="0"/>
        <v>876.9</v>
      </c>
      <c r="G120" s="132">
        <v>0.04</v>
      </c>
      <c r="H120" s="132">
        <v>0.22</v>
      </c>
      <c r="I120" s="132"/>
      <c r="J120" s="67">
        <f t="shared" si="1"/>
        <v>877.16</v>
      </c>
      <c r="K120" s="3"/>
      <c r="L120" s="45"/>
      <c r="M120" s="45"/>
      <c r="N120" s="137"/>
      <c r="O120" s="137"/>
    </row>
    <row r="121" customHeight="1" spans="1:15">
      <c r="A121" s="7" t="s">
        <v>26</v>
      </c>
      <c r="B121" s="7" t="s">
        <v>228</v>
      </c>
      <c r="C121" s="8">
        <v>90</v>
      </c>
      <c r="D121" s="133">
        <v>45188</v>
      </c>
      <c r="E121" s="134">
        <f>82.4/9</f>
        <v>9.15555555555556</v>
      </c>
      <c r="F121" s="134">
        <f t="shared" si="0"/>
        <v>824</v>
      </c>
      <c r="G121" s="134">
        <v>0.04</v>
      </c>
      <c r="H121" s="134">
        <v>0.2</v>
      </c>
      <c r="I121" s="134"/>
      <c r="J121" s="138">
        <f t="shared" si="1"/>
        <v>824.24</v>
      </c>
      <c r="K121" s="7"/>
      <c r="L121" s="45"/>
      <c r="M121" s="45"/>
      <c r="N121" s="137"/>
      <c r="O121" s="137"/>
    </row>
    <row r="122" customHeight="1" spans="1:15">
      <c r="A122" s="3" t="s">
        <v>31</v>
      </c>
      <c r="B122" s="3" t="s">
        <v>228</v>
      </c>
      <c r="C122" s="4">
        <v>10</v>
      </c>
      <c r="D122" s="131">
        <v>45191</v>
      </c>
      <c r="E122" s="132">
        <v>86.5</v>
      </c>
      <c r="F122" s="132">
        <f t="shared" si="0"/>
        <v>865</v>
      </c>
      <c r="G122" s="132">
        <v>0.04</v>
      </c>
      <c r="H122" s="132">
        <v>0.21</v>
      </c>
      <c r="I122" s="132"/>
      <c r="J122" s="67">
        <f t="shared" si="1"/>
        <v>865.25</v>
      </c>
      <c r="K122" s="3"/>
      <c r="L122" s="45"/>
      <c r="M122" s="45"/>
      <c r="N122" s="137"/>
      <c r="O122" s="137"/>
    </row>
    <row r="123" customHeight="1" spans="1:15">
      <c r="A123" s="7" t="s">
        <v>15</v>
      </c>
      <c r="B123" s="7" t="s">
        <v>228</v>
      </c>
      <c r="C123" s="8">
        <v>70</v>
      </c>
      <c r="D123" s="133">
        <v>45079</v>
      </c>
      <c r="E123" s="134">
        <v>155.7</v>
      </c>
      <c r="F123" s="134">
        <f t="shared" si="0"/>
        <v>10899</v>
      </c>
      <c r="G123" s="134">
        <v>0</v>
      </c>
      <c r="H123" s="134">
        <v>0</v>
      </c>
      <c r="I123" s="134"/>
      <c r="J123" s="138">
        <f t="shared" si="1"/>
        <v>10899</v>
      </c>
      <c r="K123" s="7"/>
      <c r="L123" s="45"/>
      <c r="M123" s="45"/>
      <c r="N123" s="137"/>
      <c r="O123" s="137"/>
    </row>
    <row r="124" customHeight="1" spans="1:15">
      <c r="A124" s="3" t="s">
        <v>32</v>
      </c>
      <c r="B124" s="3" t="s">
        <v>228</v>
      </c>
      <c r="C124" s="4">
        <v>10</v>
      </c>
      <c r="D124" s="131">
        <v>45170</v>
      </c>
      <c r="E124" s="132">
        <v>84.96</v>
      </c>
      <c r="F124" s="132">
        <f t="shared" si="0"/>
        <v>849.6</v>
      </c>
      <c r="G124" s="132">
        <v>0.04</v>
      </c>
      <c r="H124" s="132">
        <v>0.21</v>
      </c>
      <c r="I124" s="132"/>
      <c r="J124" s="67">
        <f t="shared" si="1"/>
        <v>849.85</v>
      </c>
      <c r="K124" s="3"/>
      <c r="L124" s="45"/>
      <c r="M124" s="45"/>
      <c r="N124" s="137"/>
      <c r="O124" s="137"/>
    </row>
    <row r="125" customHeight="1" spans="1:15">
      <c r="A125" s="7" t="s">
        <v>32</v>
      </c>
      <c r="B125" s="7" t="s">
        <v>228</v>
      </c>
      <c r="C125" s="8">
        <v>10</v>
      </c>
      <c r="D125" s="133">
        <v>45168</v>
      </c>
      <c r="E125" s="134">
        <v>87.2</v>
      </c>
      <c r="F125" s="134">
        <f t="shared" si="0"/>
        <v>872</v>
      </c>
      <c r="G125" s="134">
        <v>0.04</v>
      </c>
      <c r="H125" s="134">
        <v>0.22</v>
      </c>
      <c r="I125" s="134"/>
      <c r="J125" s="138">
        <f t="shared" si="1"/>
        <v>872.26</v>
      </c>
      <c r="K125" s="7"/>
      <c r="L125" s="45"/>
      <c r="M125" s="45"/>
      <c r="N125" s="137"/>
      <c r="O125" s="137"/>
    </row>
    <row r="126" customHeight="1" spans="1:15">
      <c r="A126" s="3" t="s">
        <v>31</v>
      </c>
      <c r="B126" s="3" t="s">
        <v>228</v>
      </c>
      <c r="C126" s="4">
        <v>10</v>
      </c>
      <c r="D126" s="131">
        <v>45168</v>
      </c>
      <c r="E126" s="132">
        <v>85.95</v>
      </c>
      <c r="F126" s="132">
        <f t="shared" si="0"/>
        <v>859.5</v>
      </c>
      <c r="G126" s="132">
        <v>0.04</v>
      </c>
      <c r="H126" s="132">
        <v>0.21</v>
      </c>
      <c r="I126" s="132"/>
      <c r="J126" s="67">
        <f t="shared" si="1"/>
        <v>859.75</v>
      </c>
      <c r="K126" s="3"/>
      <c r="L126" s="45"/>
      <c r="M126" s="45"/>
      <c r="N126" s="137"/>
      <c r="O126" s="137"/>
    </row>
    <row r="127" customHeight="1" spans="1:15">
      <c r="A127" s="7" t="s">
        <v>26</v>
      </c>
      <c r="B127" s="7" t="s">
        <v>228</v>
      </c>
      <c r="C127" s="8">
        <v>90</v>
      </c>
      <c r="D127" s="133">
        <v>45168</v>
      </c>
      <c r="E127" s="134">
        <f>82.91/9</f>
        <v>9.21222222222222</v>
      </c>
      <c r="F127" s="134">
        <f t="shared" si="0"/>
        <v>829.1</v>
      </c>
      <c r="G127" s="134">
        <v>0.04</v>
      </c>
      <c r="H127" s="134">
        <v>0.21</v>
      </c>
      <c r="I127" s="134"/>
      <c r="J127" s="138">
        <f t="shared" si="1"/>
        <v>829.35</v>
      </c>
      <c r="K127" s="7"/>
      <c r="L127" s="45"/>
      <c r="M127" s="45"/>
      <c r="N127" s="137"/>
      <c r="O127" s="137"/>
    </row>
    <row r="128" customHeight="1" spans="1:15">
      <c r="A128" s="3" t="s">
        <v>25</v>
      </c>
      <c r="B128" s="3" t="s">
        <v>228</v>
      </c>
      <c r="C128" s="4">
        <v>10</v>
      </c>
      <c r="D128" s="131">
        <v>45167</v>
      </c>
      <c r="E128" s="132">
        <v>88.24</v>
      </c>
      <c r="F128" s="132">
        <f t="shared" si="0"/>
        <v>882.4</v>
      </c>
      <c r="G128" s="132">
        <v>0.05</v>
      </c>
      <c r="H128" s="132">
        <v>0.22</v>
      </c>
      <c r="I128" s="132"/>
      <c r="J128" s="67">
        <f t="shared" si="1"/>
        <v>882.67</v>
      </c>
      <c r="K128" s="3"/>
      <c r="L128" s="45"/>
      <c r="M128" s="45"/>
      <c r="N128" s="137"/>
      <c r="O128" s="137"/>
    </row>
    <row r="129" customHeight="1" spans="1:15">
      <c r="A129" s="7" t="s">
        <v>31</v>
      </c>
      <c r="B129" s="7" t="s">
        <v>228</v>
      </c>
      <c r="C129" s="8">
        <v>15</v>
      </c>
      <c r="D129" s="133">
        <v>45167</v>
      </c>
      <c r="E129" s="134">
        <v>86.1</v>
      </c>
      <c r="F129" s="134">
        <f t="shared" si="0"/>
        <v>1291.5</v>
      </c>
      <c r="G129" s="134">
        <v>0.07</v>
      </c>
      <c r="H129" s="134">
        <v>0.32</v>
      </c>
      <c r="I129" s="134"/>
      <c r="J129" s="138">
        <f t="shared" si="1"/>
        <v>1291.89</v>
      </c>
      <c r="K129" s="7"/>
      <c r="L129" s="45"/>
      <c r="M129" s="45"/>
      <c r="N129" s="137"/>
      <c r="O129" s="137"/>
    </row>
    <row r="130" customHeight="1" spans="1:15">
      <c r="A130" s="3" t="s">
        <v>31</v>
      </c>
      <c r="B130" s="3" t="s">
        <v>228</v>
      </c>
      <c r="C130" s="4">
        <v>10</v>
      </c>
      <c r="D130" s="131">
        <v>45161</v>
      </c>
      <c r="E130" s="132">
        <v>86.44</v>
      </c>
      <c r="F130" s="132">
        <f t="shared" si="0"/>
        <v>864.4</v>
      </c>
      <c r="G130" s="132">
        <v>0.05</v>
      </c>
      <c r="H130" s="132">
        <v>0.21</v>
      </c>
      <c r="I130" s="132"/>
      <c r="J130" s="67">
        <f t="shared" si="1"/>
        <v>864.66</v>
      </c>
      <c r="K130" s="3"/>
      <c r="L130" s="45"/>
      <c r="M130" s="45"/>
      <c r="N130" s="137"/>
      <c r="O130" s="137"/>
    </row>
    <row r="131" customHeight="1" spans="1:15">
      <c r="A131" s="7" t="s">
        <v>32</v>
      </c>
      <c r="B131" s="7" t="s">
        <v>228</v>
      </c>
      <c r="C131" s="8">
        <v>10</v>
      </c>
      <c r="D131" s="133">
        <v>45161</v>
      </c>
      <c r="E131" s="134">
        <v>86.5</v>
      </c>
      <c r="F131" s="134">
        <f t="shared" si="0"/>
        <v>865</v>
      </c>
      <c r="G131" s="134">
        <v>0.05</v>
      </c>
      <c r="H131" s="134">
        <v>0.22</v>
      </c>
      <c r="I131" s="134"/>
      <c r="J131" s="138">
        <f t="shared" si="1"/>
        <v>865.27</v>
      </c>
      <c r="K131" s="7"/>
      <c r="L131" s="45"/>
      <c r="M131" s="45"/>
      <c r="N131" s="137"/>
      <c r="O131" s="137"/>
    </row>
    <row r="132" customHeight="1" spans="1:15">
      <c r="A132" s="3" t="s">
        <v>32</v>
      </c>
      <c r="B132" s="3" t="s">
        <v>228</v>
      </c>
      <c r="C132" s="4">
        <v>10</v>
      </c>
      <c r="D132" s="131">
        <v>45147</v>
      </c>
      <c r="E132" s="132">
        <v>87.7</v>
      </c>
      <c r="F132" s="132">
        <f t="shared" si="0"/>
        <v>877</v>
      </c>
      <c r="G132" s="132">
        <v>0.04</v>
      </c>
      <c r="H132" s="132">
        <v>0.21</v>
      </c>
      <c r="I132" s="132"/>
      <c r="J132" s="67">
        <f t="shared" si="1"/>
        <v>877.25</v>
      </c>
      <c r="K132" s="3"/>
      <c r="L132" s="45"/>
      <c r="M132" s="45"/>
      <c r="N132" s="137"/>
      <c r="O132" s="137"/>
    </row>
    <row r="133" customHeight="1" spans="1:15">
      <c r="A133" s="7" t="s">
        <v>39</v>
      </c>
      <c r="B133" s="7" t="s">
        <v>229</v>
      </c>
      <c r="C133" s="8">
        <v>-120</v>
      </c>
      <c r="D133" s="133">
        <v>45138</v>
      </c>
      <c r="E133" s="134">
        <v>54.11</v>
      </c>
      <c r="F133" s="134">
        <f t="shared" si="0"/>
        <v>-6493.2</v>
      </c>
      <c r="G133" s="134">
        <v>0.32</v>
      </c>
      <c r="H133" s="134">
        <v>1.56</v>
      </c>
      <c r="I133" s="134">
        <v>0.27</v>
      </c>
      <c r="J133" s="138">
        <f t="shared" si="1"/>
        <v>-6491.05</v>
      </c>
      <c r="K133" s="7"/>
      <c r="L133" s="45"/>
      <c r="M133" s="45"/>
      <c r="N133" s="137"/>
      <c r="O133" s="137"/>
    </row>
    <row r="134" customHeight="1" spans="1:15">
      <c r="A134" s="3" t="s">
        <v>39</v>
      </c>
      <c r="B134" s="3" t="s">
        <v>228</v>
      </c>
      <c r="C134" s="4">
        <v>20</v>
      </c>
      <c r="D134" s="131">
        <v>45138</v>
      </c>
      <c r="E134" s="132">
        <v>54.15</v>
      </c>
      <c r="F134" s="132">
        <f t="shared" si="0"/>
        <v>1083</v>
      </c>
      <c r="G134" s="132">
        <v>0.05</v>
      </c>
      <c r="H134" s="132">
        <v>0.26</v>
      </c>
      <c r="I134" s="132"/>
      <c r="J134" s="67">
        <f t="shared" si="1"/>
        <v>1083.31</v>
      </c>
      <c r="K134" s="3"/>
      <c r="L134" s="45"/>
      <c r="M134" s="45"/>
      <c r="N134" s="137"/>
      <c r="O134" s="137"/>
    </row>
    <row r="135" customHeight="1" spans="1:15">
      <c r="A135" s="7" t="s">
        <v>31</v>
      </c>
      <c r="B135" s="7" t="s">
        <v>228</v>
      </c>
      <c r="C135" s="8">
        <v>60</v>
      </c>
      <c r="D135" s="133">
        <v>45138</v>
      </c>
      <c r="E135" s="134">
        <v>88.35</v>
      </c>
      <c r="F135" s="134">
        <f t="shared" si="0"/>
        <v>5301</v>
      </c>
      <c r="G135" s="134">
        <v>0.26</v>
      </c>
      <c r="H135" s="134">
        <v>1.27</v>
      </c>
      <c r="I135" s="134"/>
      <c r="J135" s="138">
        <f t="shared" si="1"/>
        <v>5302.53</v>
      </c>
      <c r="K135" s="7"/>
      <c r="L135" s="45"/>
      <c r="M135" s="45"/>
      <c r="N135" s="137"/>
      <c r="O135" s="137"/>
    </row>
    <row r="136" customHeight="1" spans="1:15">
      <c r="A136" s="3" t="s">
        <v>32</v>
      </c>
      <c r="B136" s="3" t="s">
        <v>228</v>
      </c>
      <c r="C136" s="4">
        <v>40</v>
      </c>
      <c r="D136" s="131">
        <v>45138</v>
      </c>
      <c r="E136" s="132">
        <v>89.1</v>
      </c>
      <c r="F136" s="132">
        <f t="shared" si="0"/>
        <v>3564</v>
      </c>
      <c r="G136" s="132">
        <v>0.18</v>
      </c>
      <c r="H136" s="132">
        <v>0.85</v>
      </c>
      <c r="I136" s="132"/>
      <c r="J136" s="67">
        <f t="shared" si="1"/>
        <v>3565.03</v>
      </c>
      <c r="K136" s="3"/>
      <c r="L136" s="45"/>
      <c r="M136" s="45"/>
      <c r="N136" s="137"/>
      <c r="O136" s="137"/>
    </row>
    <row r="137" customHeight="1" spans="1:15">
      <c r="A137" s="7" t="s">
        <v>26</v>
      </c>
      <c r="B137" s="7" t="s">
        <v>228</v>
      </c>
      <c r="C137" s="8">
        <f>15*9</f>
        <v>135</v>
      </c>
      <c r="D137" s="133">
        <v>45135</v>
      </c>
      <c r="E137" s="134">
        <f>84.2/9</f>
        <v>9.35555555555556</v>
      </c>
      <c r="F137" s="134">
        <f t="shared" si="0"/>
        <v>1263</v>
      </c>
      <c r="G137" s="134">
        <v>0.06</v>
      </c>
      <c r="H137" s="134">
        <v>0.31</v>
      </c>
      <c r="I137" s="134"/>
      <c r="J137" s="138">
        <f t="shared" si="1"/>
        <v>1263.37</v>
      </c>
      <c r="K137" s="7"/>
      <c r="L137" s="45"/>
      <c r="M137" s="45"/>
      <c r="N137" s="137"/>
      <c r="O137" s="137"/>
    </row>
    <row r="138" customHeight="1" spans="1:15">
      <c r="A138" s="3" t="s">
        <v>28</v>
      </c>
      <c r="B138" s="3" t="s">
        <v>228</v>
      </c>
      <c r="C138" s="4">
        <f>29*5</f>
        <v>145</v>
      </c>
      <c r="D138" s="131">
        <v>45128</v>
      </c>
      <c r="E138" s="132">
        <f>46.5/5</f>
        <v>9.3</v>
      </c>
      <c r="F138" s="132">
        <f t="shared" si="0"/>
        <v>1348.5</v>
      </c>
      <c r="G138" s="132">
        <v>0.07</v>
      </c>
      <c r="H138" s="132">
        <v>0.34</v>
      </c>
      <c r="I138" s="132"/>
      <c r="J138" s="67">
        <f t="shared" si="1"/>
        <v>1348.91</v>
      </c>
      <c r="K138" s="3"/>
      <c r="L138" s="45"/>
      <c r="M138" s="45"/>
      <c r="N138" s="137"/>
      <c r="O138" s="137"/>
    </row>
    <row r="139" customHeight="1" spans="1:15">
      <c r="A139" s="7" t="s">
        <v>26</v>
      </c>
      <c r="B139" s="7" t="s">
        <v>228</v>
      </c>
      <c r="C139" s="8">
        <v>99</v>
      </c>
      <c r="D139" s="133">
        <v>45128</v>
      </c>
      <c r="E139" s="134">
        <f>84.65/9</f>
        <v>9.40555555555556</v>
      </c>
      <c r="F139" s="134">
        <f t="shared" si="0"/>
        <v>931.15</v>
      </c>
      <c r="G139" s="134">
        <v>0.05</v>
      </c>
      <c r="H139" s="134">
        <v>0.23</v>
      </c>
      <c r="I139" s="134"/>
      <c r="J139" s="138">
        <f t="shared" si="1"/>
        <v>931.43</v>
      </c>
      <c r="K139" s="7"/>
      <c r="L139" s="45"/>
      <c r="M139" s="45"/>
      <c r="N139" s="137"/>
      <c r="O139" s="137"/>
    </row>
    <row r="140" customHeight="1" spans="1:15">
      <c r="A140" s="3" t="s">
        <v>22</v>
      </c>
      <c r="B140" s="3" t="s">
        <v>228</v>
      </c>
      <c r="C140" s="4">
        <v>13</v>
      </c>
      <c r="D140" s="131">
        <v>45128</v>
      </c>
      <c r="E140" s="132">
        <v>93.95</v>
      </c>
      <c r="F140" s="132">
        <f t="shared" si="0"/>
        <v>1221.35</v>
      </c>
      <c r="G140" s="132">
        <v>0.06</v>
      </c>
      <c r="H140" s="132">
        <v>0.3</v>
      </c>
      <c r="I140" s="132"/>
      <c r="J140" s="67">
        <f t="shared" si="1"/>
        <v>1221.71</v>
      </c>
      <c r="K140" s="3"/>
      <c r="L140" s="45"/>
      <c r="M140" s="45"/>
      <c r="N140" s="137"/>
      <c r="O140" s="137"/>
    </row>
    <row r="141" customHeight="1" spans="1:15">
      <c r="A141" s="7" t="s">
        <v>35</v>
      </c>
      <c r="B141" s="7" t="s">
        <v>228</v>
      </c>
      <c r="C141" s="8">
        <v>17</v>
      </c>
      <c r="D141" s="133">
        <v>45043</v>
      </c>
      <c r="E141" s="134">
        <v>119.99</v>
      </c>
      <c r="F141" s="134">
        <f t="shared" si="0"/>
        <v>2039.83</v>
      </c>
      <c r="G141" s="134">
        <v>0.11</v>
      </c>
      <c r="H141" s="134">
        <v>0.5</v>
      </c>
      <c r="I141" s="134"/>
      <c r="J141" s="138">
        <f t="shared" si="1"/>
        <v>2040.44</v>
      </c>
      <c r="K141" s="7"/>
      <c r="L141" s="139"/>
      <c r="M141" s="45"/>
      <c r="N141" s="137"/>
      <c r="O141" s="137"/>
    </row>
    <row r="142" customHeight="1" spans="1:15">
      <c r="A142" s="3" t="s">
        <v>26</v>
      </c>
      <c r="B142" s="3" t="s">
        <v>228</v>
      </c>
      <c r="C142" s="4">
        <v>90</v>
      </c>
      <c r="D142" s="131">
        <v>45041</v>
      </c>
      <c r="E142" s="132">
        <f>77/9</f>
        <v>8.55555555555556</v>
      </c>
      <c r="F142" s="132">
        <f t="shared" si="0"/>
        <v>770</v>
      </c>
      <c r="G142" s="132">
        <v>0.03</v>
      </c>
      <c r="H142" s="132">
        <v>0.19</v>
      </c>
      <c r="I142" s="132"/>
      <c r="J142" s="67">
        <f t="shared" si="1"/>
        <v>770.22</v>
      </c>
      <c r="K142" s="3"/>
      <c r="L142" s="45"/>
      <c r="M142" s="45"/>
      <c r="N142" s="137"/>
      <c r="O142" s="137"/>
    </row>
    <row r="143" customHeight="1" spans="1:15">
      <c r="A143" s="7" t="s">
        <v>23</v>
      </c>
      <c r="B143" s="7" t="s">
        <v>228</v>
      </c>
      <c r="C143" s="8">
        <v>10</v>
      </c>
      <c r="D143" s="133">
        <v>45026</v>
      </c>
      <c r="E143" s="134">
        <v>87.67</v>
      </c>
      <c r="F143" s="134">
        <f t="shared" si="0"/>
        <v>876.7</v>
      </c>
      <c r="G143" s="134">
        <v>0.06</v>
      </c>
      <c r="H143" s="134">
        <v>0.21</v>
      </c>
      <c r="I143" s="134"/>
      <c r="J143" s="138">
        <f t="shared" si="1"/>
        <v>876.97</v>
      </c>
      <c r="K143" s="7"/>
      <c r="L143" s="45"/>
      <c r="M143" s="45"/>
      <c r="N143" s="137"/>
      <c r="O143" s="137"/>
    </row>
    <row r="144" customHeight="1" spans="1:15">
      <c r="A144" s="3" t="s">
        <v>22</v>
      </c>
      <c r="B144" s="3" t="s">
        <v>228</v>
      </c>
      <c r="C144" s="4">
        <v>10</v>
      </c>
      <c r="D144" s="131">
        <v>45026</v>
      </c>
      <c r="E144" s="132">
        <v>87.74</v>
      </c>
      <c r="F144" s="132">
        <f t="shared" si="0"/>
        <v>877.4</v>
      </c>
      <c r="G144" s="132">
        <v>0.06</v>
      </c>
      <c r="H144" s="132">
        <v>0.22</v>
      </c>
      <c r="I144" s="132"/>
      <c r="J144" s="67">
        <f t="shared" si="1"/>
        <v>877.68</v>
      </c>
      <c r="K144" s="3"/>
      <c r="L144" s="45"/>
      <c r="M144" s="45"/>
      <c r="N144" s="137"/>
      <c r="O144" s="137"/>
    </row>
    <row r="145" customHeight="1" spans="1:15">
      <c r="A145" s="7" t="s">
        <v>38</v>
      </c>
      <c r="B145" s="7" t="s">
        <v>228</v>
      </c>
      <c r="C145" s="8">
        <v>150</v>
      </c>
      <c r="D145" s="133">
        <v>45019</v>
      </c>
      <c r="E145" s="134">
        <v>8.81</v>
      </c>
      <c r="F145" s="134">
        <f t="shared" si="0"/>
        <v>1321.5</v>
      </c>
      <c r="G145" s="134">
        <v>0.06</v>
      </c>
      <c r="H145" s="134">
        <v>0.33</v>
      </c>
      <c r="I145" s="134"/>
      <c r="J145" s="138">
        <f t="shared" si="1"/>
        <v>1321.89</v>
      </c>
      <c r="K145" s="7"/>
      <c r="L145" s="45"/>
      <c r="M145" s="45"/>
      <c r="N145" s="137"/>
      <c r="O145" s="137"/>
    </row>
    <row r="146" customHeight="1" spans="1:15">
      <c r="A146" s="3" t="s">
        <v>27</v>
      </c>
      <c r="B146" s="3" t="s">
        <v>228</v>
      </c>
      <c r="C146" s="4">
        <v>10</v>
      </c>
      <c r="D146" s="131">
        <v>45019</v>
      </c>
      <c r="E146" s="132">
        <v>82.5</v>
      </c>
      <c r="F146" s="132">
        <f t="shared" si="0"/>
        <v>825</v>
      </c>
      <c r="G146" s="132">
        <v>0.04</v>
      </c>
      <c r="H146" s="132">
        <v>0.21</v>
      </c>
      <c r="I146" s="132"/>
      <c r="J146" s="67">
        <f t="shared" si="1"/>
        <v>825.25</v>
      </c>
      <c r="K146" s="3"/>
      <c r="L146" s="45"/>
      <c r="M146" s="45"/>
      <c r="N146" s="137"/>
      <c r="O146" s="137"/>
    </row>
    <row r="147" customHeight="1" spans="1:15">
      <c r="A147" s="7" t="s">
        <v>22</v>
      </c>
      <c r="B147" s="7" t="s">
        <v>228</v>
      </c>
      <c r="C147" s="8">
        <v>10</v>
      </c>
      <c r="D147" s="133">
        <v>45019</v>
      </c>
      <c r="E147" s="134">
        <v>90.3</v>
      </c>
      <c r="F147" s="134">
        <f t="shared" si="0"/>
        <v>903</v>
      </c>
      <c r="G147" s="134">
        <v>0.04</v>
      </c>
      <c r="H147" s="134">
        <v>0.23</v>
      </c>
      <c r="I147" s="134"/>
      <c r="J147" s="138">
        <f t="shared" si="1"/>
        <v>903.27</v>
      </c>
      <c r="K147" s="7"/>
      <c r="L147" s="45"/>
      <c r="M147" s="45"/>
      <c r="N147" s="137"/>
      <c r="O147" s="137"/>
    </row>
    <row r="148" customHeight="1" spans="1:15">
      <c r="A148" s="3" t="s">
        <v>29</v>
      </c>
      <c r="B148" s="3" t="s">
        <v>228</v>
      </c>
      <c r="C148" s="4">
        <v>10</v>
      </c>
      <c r="D148" s="131">
        <v>45008</v>
      </c>
      <c r="E148" s="132">
        <v>90.15</v>
      </c>
      <c r="F148" s="132">
        <f t="shared" si="0"/>
        <v>901.5</v>
      </c>
      <c r="G148" s="132">
        <v>0.04</v>
      </c>
      <c r="H148" s="132">
        <v>0.22</v>
      </c>
      <c r="I148" s="132"/>
      <c r="J148" s="67">
        <f t="shared" si="1"/>
        <v>901.76</v>
      </c>
      <c r="K148" s="3"/>
      <c r="L148" s="45"/>
      <c r="M148" s="45"/>
      <c r="N148" s="137"/>
      <c r="O148" s="137"/>
    </row>
    <row r="149" customHeight="1" spans="1:15">
      <c r="A149" s="7" t="s">
        <v>27</v>
      </c>
      <c r="B149" s="7" t="s">
        <v>228</v>
      </c>
      <c r="C149" s="8">
        <v>10</v>
      </c>
      <c r="D149" s="133">
        <v>44986</v>
      </c>
      <c r="E149" s="134">
        <v>83.15</v>
      </c>
      <c r="F149" s="134">
        <f t="shared" si="0"/>
        <v>831.5</v>
      </c>
      <c r="G149" s="134">
        <v>0.04</v>
      </c>
      <c r="H149" s="134">
        <v>0.21</v>
      </c>
      <c r="I149" s="134"/>
      <c r="J149" s="138">
        <f t="shared" si="1"/>
        <v>831.75</v>
      </c>
      <c r="K149" s="7"/>
      <c r="L149" s="45"/>
      <c r="M149" s="45"/>
      <c r="N149" s="137"/>
      <c r="O149" s="137"/>
    </row>
    <row r="150" customHeight="1" spans="1:15">
      <c r="A150" s="3" t="s">
        <v>37</v>
      </c>
      <c r="B150" s="3" t="s">
        <v>228</v>
      </c>
      <c r="C150" s="4">
        <v>20</v>
      </c>
      <c r="D150" s="131">
        <v>44986</v>
      </c>
      <c r="E150" s="132">
        <v>177.46</v>
      </c>
      <c r="F150" s="132">
        <f t="shared" si="0"/>
        <v>3549.2</v>
      </c>
      <c r="G150" s="132">
        <v>0.17</v>
      </c>
      <c r="H150" s="132">
        <v>0.88</v>
      </c>
      <c r="I150" s="132"/>
      <c r="J150" s="67">
        <f t="shared" si="1"/>
        <v>3550.25</v>
      </c>
      <c r="K150" s="3"/>
      <c r="L150" s="45"/>
      <c r="M150" s="45"/>
      <c r="N150" s="137"/>
      <c r="O150" s="137"/>
    </row>
    <row r="151" customHeight="1" spans="1:15">
      <c r="A151" s="7" t="s">
        <v>18</v>
      </c>
      <c r="B151" s="7" t="s">
        <v>228</v>
      </c>
      <c r="C151" s="8">
        <v>20</v>
      </c>
      <c r="D151" s="133">
        <v>44985</v>
      </c>
      <c r="E151" s="134">
        <v>113.2</v>
      </c>
      <c r="F151" s="134">
        <f t="shared" si="0"/>
        <v>2264</v>
      </c>
      <c r="G151" s="134">
        <v>0.15</v>
      </c>
      <c r="H151" s="134">
        <v>0.56</v>
      </c>
      <c r="I151" s="134"/>
      <c r="J151" s="138">
        <f t="shared" si="1"/>
        <v>2264.71</v>
      </c>
      <c r="K151" s="7"/>
      <c r="L151" s="45"/>
      <c r="M151" s="45"/>
      <c r="N151" s="137"/>
      <c r="O151" s="137"/>
    </row>
    <row r="152" customHeight="1" spans="1:15">
      <c r="A152" s="3" t="s">
        <v>29</v>
      </c>
      <c r="B152" s="3" t="s">
        <v>228</v>
      </c>
      <c r="C152" s="4">
        <v>25</v>
      </c>
      <c r="D152" s="131">
        <v>44984</v>
      </c>
      <c r="E152" s="132">
        <v>92.7</v>
      </c>
      <c r="F152" s="132">
        <f t="shared" si="0"/>
        <v>2317.5</v>
      </c>
      <c r="G152" s="132">
        <v>0.11</v>
      </c>
      <c r="H152" s="132">
        <v>0.57</v>
      </c>
      <c r="I152" s="132"/>
      <c r="J152" s="67">
        <f t="shared" si="1"/>
        <v>2318.18</v>
      </c>
      <c r="K152" s="3"/>
      <c r="L152" s="45"/>
      <c r="M152" s="45"/>
      <c r="N152" s="137"/>
      <c r="O152" s="137"/>
    </row>
    <row r="153" customHeight="1" spans="1:15">
      <c r="A153" s="7" t="s">
        <v>33</v>
      </c>
      <c r="B153" s="7" t="s">
        <v>228</v>
      </c>
      <c r="C153" s="8">
        <v>10</v>
      </c>
      <c r="D153" s="133">
        <v>44981</v>
      </c>
      <c r="E153" s="134">
        <v>95.35</v>
      </c>
      <c r="F153" s="134">
        <f t="shared" si="0"/>
        <v>953.5</v>
      </c>
      <c r="G153" s="134">
        <v>0.04</v>
      </c>
      <c r="H153" s="134">
        <v>0.23</v>
      </c>
      <c r="I153" s="134"/>
      <c r="J153" s="138">
        <f t="shared" si="1"/>
        <v>953.77</v>
      </c>
      <c r="K153" s="7"/>
      <c r="L153" s="45"/>
      <c r="M153" s="45"/>
      <c r="N153" s="137"/>
      <c r="O153" s="137"/>
    </row>
    <row r="154" customHeight="1" spans="1:15">
      <c r="A154" s="3" t="s">
        <v>30</v>
      </c>
      <c r="B154" s="3" t="s">
        <v>228</v>
      </c>
      <c r="C154" s="4">
        <v>25</v>
      </c>
      <c r="D154" s="131">
        <v>44980</v>
      </c>
      <c r="E154" s="132">
        <v>91.97</v>
      </c>
      <c r="F154" s="132">
        <f t="shared" si="0"/>
        <v>2299.25</v>
      </c>
      <c r="G154" s="132">
        <v>0.11</v>
      </c>
      <c r="H154" s="132">
        <v>0.57</v>
      </c>
      <c r="I154" s="132"/>
      <c r="J154" s="67">
        <f t="shared" si="1"/>
        <v>2299.93</v>
      </c>
      <c r="K154" s="3"/>
      <c r="L154" s="45"/>
      <c r="M154" s="45"/>
      <c r="N154" s="137"/>
      <c r="O154" s="137"/>
    </row>
    <row r="155" customHeight="1" spans="1:15">
      <c r="A155" s="7" t="s">
        <v>26</v>
      </c>
      <c r="B155" s="7" t="s">
        <v>228</v>
      </c>
      <c r="C155" s="8">
        <v>90</v>
      </c>
      <c r="D155" s="133">
        <v>44980</v>
      </c>
      <c r="E155" s="134">
        <f>83.2/9</f>
        <v>9.24444444444445</v>
      </c>
      <c r="F155" s="134">
        <f t="shared" si="0"/>
        <v>832</v>
      </c>
      <c r="G155" s="134">
        <v>0.04</v>
      </c>
      <c r="H155" s="134">
        <v>0.21</v>
      </c>
      <c r="I155" s="134"/>
      <c r="J155" s="138">
        <f t="shared" si="1"/>
        <v>832.25</v>
      </c>
      <c r="K155" s="7"/>
      <c r="L155" s="45"/>
      <c r="M155" s="45"/>
      <c r="N155" s="137"/>
      <c r="O155" s="137"/>
    </row>
    <row r="156" customHeight="1" spans="1:15">
      <c r="A156" s="3" t="s">
        <v>29</v>
      </c>
      <c r="B156" s="3" t="s">
        <v>228</v>
      </c>
      <c r="C156" s="4">
        <v>15</v>
      </c>
      <c r="D156" s="131">
        <v>44979</v>
      </c>
      <c r="E156" s="132">
        <v>93.05</v>
      </c>
      <c r="F156" s="132">
        <f t="shared" si="0"/>
        <v>1395.75</v>
      </c>
      <c r="G156" s="132">
        <v>0.07</v>
      </c>
      <c r="H156" s="132">
        <v>0.34</v>
      </c>
      <c r="I156" s="132"/>
      <c r="J156" s="67">
        <f t="shared" si="1"/>
        <v>1396.16</v>
      </c>
      <c r="K156" s="3"/>
      <c r="L156" s="45"/>
      <c r="M156" s="45"/>
      <c r="N156" s="137"/>
      <c r="O156" s="137"/>
    </row>
    <row r="157" customHeight="1" spans="1:15">
      <c r="A157" s="7" t="s">
        <v>26</v>
      </c>
      <c r="B157" s="7" t="s">
        <v>228</v>
      </c>
      <c r="C157" s="8">
        <v>90</v>
      </c>
      <c r="D157" s="133">
        <v>44979</v>
      </c>
      <c r="E157" s="134">
        <f>83.8/9</f>
        <v>9.31111111111111</v>
      </c>
      <c r="F157" s="134">
        <f t="shared" si="0"/>
        <v>838</v>
      </c>
      <c r="G157" s="134">
        <v>0.04</v>
      </c>
      <c r="H157" s="134">
        <v>0.21</v>
      </c>
      <c r="I157" s="134"/>
      <c r="J157" s="138">
        <f t="shared" si="1"/>
        <v>838.25</v>
      </c>
      <c r="K157" s="7"/>
      <c r="L157" s="45"/>
      <c r="M157" s="45"/>
      <c r="N157" s="137"/>
      <c r="O157" s="137"/>
    </row>
    <row r="158" customHeight="1" spans="1:15">
      <c r="A158" s="3" t="s">
        <v>27</v>
      </c>
      <c r="B158" s="3" t="s">
        <v>228</v>
      </c>
      <c r="C158" s="4">
        <v>15</v>
      </c>
      <c r="D158" s="131">
        <v>44967</v>
      </c>
      <c r="E158" s="132">
        <v>81</v>
      </c>
      <c r="F158" s="132">
        <f t="shared" si="0"/>
        <v>1215</v>
      </c>
      <c r="G158" s="132">
        <v>0.06</v>
      </c>
      <c r="H158" s="132">
        <v>0.3</v>
      </c>
      <c r="I158" s="132"/>
      <c r="J158" s="67">
        <f t="shared" si="1"/>
        <v>1215.36</v>
      </c>
      <c r="K158" s="3"/>
      <c r="L158" s="45"/>
      <c r="M158" s="45"/>
      <c r="N158" s="137"/>
      <c r="O158" s="137"/>
    </row>
    <row r="159" customHeight="1" spans="1:15">
      <c r="A159" s="7" t="s">
        <v>26</v>
      </c>
      <c r="B159" s="7" t="s">
        <v>228</v>
      </c>
      <c r="C159" s="8">
        <f>15*9</f>
        <v>135</v>
      </c>
      <c r="D159" s="133">
        <v>44967</v>
      </c>
      <c r="E159" s="134">
        <f>83.5/9</f>
        <v>9.27777777777778</v>
      </c>
      <c r="F159" s="134">
        <f t="shared" si="0"/>
        <v>1252.5</v>
      </c>
      <c r="G159" s="134">
        <v>0.06</v>
      </c>
      <c r="H159" s="134">
        <v>0.31</v>
      </c>
      <c r="I159" s="134"/>
      <c r="J159" s="138">
        <f t="shared" si="1"/>
        <v>1252.87</v>
      </c>
      <c r="K159" s="7"/>
      <c r="L159" s="45"/>
      <c r="M159" s="45"/>
      <c r="N159" s="137"/>
      <c r="O159" s="137"/>
    </row>
    <row r="160" customHeight="1" spans="1:15">
      <c r="A160" s="3" t="s">
        <v>26</v>
      </c>
      <c r="B160" s="3" t="s">
        <v>228</v>
      </c>
      <c r="C160" s="4">
        <v>90</v>
      </c>
      <c r="D160" s="131">
        <v>44964</v>
      </c>
      <c r="E160" s="132">
        <f>86.43/9</f>
        <v>9.60333333333333</v>
      </c>
      <c r="F160" s="132">
        <f t="shared" si="0"/>
        <v>864.3</v>
      </c>
      <c r="G160" s="132">
        <v>0.04</v>
      </c>
      <c r="H160" s="132">
        <v>0.21</v>
      </c>
      <c r="I160" s="132"/>
      <c r="J160" s="67">
        <f t="shared" si="1"/>
        <v>864.55</v>
      </c>
      <c r="K160" s="3"/>
      <c r="L160" s="45"/>
      <c r="M160" s="45"/>
      <c r="N160" s="137"/>
      <c r="O160" s="137"/>
    </row>
    <row r="161" customHeight="1" spans="1:15">
      <c r="A161" s="7" t="s">
        <v>13</v>
      </c>
      <c r="B161" s="7" t="s">
        <v>228</v>
      </c>
      <c r="C161" s="8">
        <v>15</v>
      </c>
      <c r="D161" s="133">
        <v>44945</v>
      </c>
      <c r="E161" s="134">
        <v>94.5</v>
      </c>
      <c r="F161" s="134">
        <f t="shared" si="0"/>
        <v>1417.5</v>
      </c>
      <c r="G161" s="134">
        <v>0.07</v>
      </c>
      <c r="H161" s="134">
        <v>0.35</v>
      </c>
      <c r="I161" s="134"/>
      <c r="J161" s="138">
        <f t="shared" si="1"/>
        <v>1417.92</v>
      </c>
      <c r="K161" s="7"/>
      <c r="L161" s="45"/>
      <c r="M161" s="45"/>
      <c r="N161" s="137"/>
      <c r="O161" s="137"/>
    </row>
    <row r="162" customHeight="1" spans="1:15">
      <c r="A162" s="3" t="s">
        <v>24</v>
      </c>
      <c r="B162" s="3" t="s">
        <v>228</v>
      </c>
      <c r="C162" s="4">
        <v>20</v>
      </c>
      <c r="D162" s="131">
        <v>44943</v>
      </c>
      <c r="E162" s="132">
        <v>89.05</v>
      </c>
      <c r="F162" s="132">
        <f t="shared" si="0"/>
        <v>1781</v>
      </c>
      <c r="G162" s="132">
        <v>0.08</v>
      </c>
      <c r="H162" s="132">
        <v>0.44</v>
      </c>
      <c r="I162" s="132"/>
      <c r="J162" s="67">
        <f t="shared" si="1"/>
        <v>1781.52</v>
      </c>
      <c r="K162" s="3"/>
      <c r="L162" s="45"/>
      <c r="M162" s="45"/>
      <c r="N162" s="137"/>
      <c r="O162" s="137"/>
    </row>
    <row r="163" customHeight="1" spans="1:15">
      <c r="A163" s="7" t="s">
        <v>42</v>
      </c>
      <c r="B163" s="7" t="s">
        <v>228</v>
      </c>
      <c r="C163" s="8">
        <v>10</v>
      </c>
      <c r="D163" s="133">
        <v>44935</v>
      </c>
      <c r="E163" s="134">
        <v>87</v>
      </c>
      <c r="F163" s="134">
        <f t="shared" si="0"/>
        <v>870</v>
      </c>
      <c r="G163" s="134">
        <v>0.04</v>
      </c>
      <c r="H163" s="134">
        <v>0.22</v>
      </c>
      <c r="I163" s="134"/>
      <c r="J163" s="138">
        <f t="shared" si="1"/>
        <v>870.26</v>
      </c>
      <c r="K163" s="7"/>
      <c r="L163" s="45"/>
      <c r="M163" s="45"/>
      <c r="N163" s="137"/>
      <c r="O163" s="137"/>
    </row>
    <row r="164" customHeight="1" spans="1:15">
      <c r="A164" s="3" t="s">
        <v>37</v>
      </c>
      <c r="B164" s="3" t="s">
        <v>228</v>
      </c>
      <c r="C164" s="4">
        <v>5</v>
      </c>
      <c r="D164" s="131">
        <v>44935</v>
      </c>
      <c r="E164" s="132">
        <v>180.45</v>
      </c>
      <c r="F164" s="132">
        <f t="shared" si="0"/>
        <v>902.25</v>
      </c>
      <c r="G164" s="132">
        <v>0.04</v>
      </c>
      <c r="H164" s="132">
        <v>0.22</v>
      </c>
      <c r="I164" s="132"/>
      <c r="J164" s="67">
        <f t="shared" si="1"/>
        <v>902.51</v>
      </c>
      <c r="K164" s="3"/>
      <c r="L164" s="45"/>
      <c r="M164" s="45"/>
      <c r="N164" s="137"/>
      <c r="O164" s="137"/>
    </row>
    <row r="165" customHeight="1" spans="1:15">
      <c r="A165" s="7" t="s">
        <v>26</v>
      </c>
      <c r="B165" s="7" t="s">
        <v>228</v>
      </c>
      <c r="C165" s="8">
        <v>81</v>
      </c>
      <c r="D165" s="133">
        <v>44915</v>
      </c>
      <c r="E165" s="134">
        <f>84.8/9</f>
        <v>9.42222222222222</v>
      </c>
      <c r="F165" s="134">
        <f t="shared" si="0"/>
        <v>763.2</v>
      </c>
      <c r="G165" s="134">
        <v>0.03</v>
      </c>
      <c r="H165" s="134">
        <v>0.19</v>
      </c>
      <c r="I165" s="134"/>
      <c r="J165" s="138">
        <f t="shared" si="1"/>
        <v>763.42</v>
      </c>
      <c r="K165" s="7"/>
      <c r="L165" s="45"/>
      <c r="M165" s="45"/>
      <c r="N165" s="137"/>
      <c r="O165" s="137"/>
    </row>
    <row r="166" customHeight="1" spans="1:15">
      <c r="A166" s="3" t="s">
        <v>25</v>
      </c>
      <c r="B166" s="3" t="s">
        <v>228</v>
      </c>
      <c r="C166" s="4">
        <v>10</v>
      </c>
      <c r="D166" s="131">
        <v>44914</v>
      </c>
      <c r="E166" s="132">
        <v>86</v>
      </c>
      <c r="F166" s="132">
        <f t="shared" si="0"/>
        <v>860</v>
      </c>
      <c r="G166" s="132">
        <v>0.04</v>
      </c>
      <c r="H166" s="132">
        <v>0.21</v>
      </c>
      <c r="I166" s="132"/>
      <c r="J166" s="67">
        <f t="shared" si="1"/>
        <v>860.25</v>
      </c>
      <c r="K166" s="3"/>
      <c r="L166" s="45"/>
      <c r="M166" s="45"/>
      <c r="N166" s="137"/>
      <c r="O166" s="137"/>
    </row>
    <row r="167" customHeight="1" spans="1:15">
      <c r="A167" s="7" t="s">
        <v>27</v>
      </c>
      <c r="B167" s="7" t="s">
        <v>228</v>
      </c>
      <c r="C167" s="8">
        <v>10</v>
      </c>
      <c r="D167" s="133">
        <v>44910</v>
      </c>
      <c r="E167" s="134">
        <v>93.4</v>
      </c>
      <c r="F167" s="134">
        <f t="shared" si="0"/>
        <v>934</v>
      </c>
      <c r="G167" s="134">
        <v>0.04</v>
      </c>
      <c r="H167" s="134">
        <v>0.23</v>
      </c>
      <c r="I167" s="134"/>
      <c r="J167" s="138">
        <f t="shared" si="1"/>
        <v>934.27</v>
      </c>
      <c r="K167" s="7"/>
      <c r="L167" s="45"/>
      <c r="M167" s="45"/>
      <c r="N167" s="137"/>
      <c r="O167" s="137"/>
    </row>
    <row r="168" customHeight="1" spans="1:15">
      <c r="A168" s="3" t="s">
        <v>26</v>
      </c>
      <c r="B168" s="3" t="s">
        <v>228</v>
      </c>
      <c r="C168" s="4">
        <v>90</v>
      </c>
      <c r="D168" s="131">
        <v>44910</v>
      </c>
      <c r="E168" s="132">
        <f>87.45/9</f>
        <v>9.71666666666667</v>
      </c>
      <c r="F168" s="132">
        <f t="shared" si="0"/>
        <v>874.5</v>
      </c>
      <c r="G168" s="132">
        <v>0.04</v>
      </c>
      <c r="H168" s="132">
        <v>0.22</v>
      </c>
      <c r="I168" s="132"/>
      <c r="J168" s="67">
        <f t="shared" si="1"/>
        <v>874.76</v>
      </c>
      <c r="K168" s="3"/>
      <c r="L168" s="45"/>
      <c r="M168" s="45"/>
      <c r="N168" s="137"/>
      <c r="O168" s="137"/>
    </row>
    <row r="169" customHeight="1" spans="1:15">
      <c r="A169" s="7" t="s">
        <v>30</v>
      </c>
      <c r="B169" s="7" t="s">
        <v>228</v>
      </c>
      <c r="C169" s="8">
        <v>10</v>
      </c>
      <c r="D169" s="133">
        <v>44910</v>
      </c>
      <c r="E169" s="134">
        <v>96.2</v>
      </c>
      <c r="F169" s="134">
        <f t="shared" si="0"/>
        <v>962</v>
      </c>
      <c r="G169" s="134">
        <v>0.05</v>
      </c>
      <c r="H169" s="134">
        <v>0.24</v>
      </c>
      <c r="I169" s="134"/>
      <c r="J169" s="138">
        <f t="shared" si="1"/>
        <v>962.29</v>
      </c>
      <c r="K169" s="7"/>
      <c r="L169" s="45"/>
      <c r="M169" s="45"/>
      <c r="N169" s="137"/>
      <c r="O169" s="137"/>
    </row>
    <row r="170" customHeight="1" spans="1:15">
      <c r="A170" s="3" t="s">
        <v>25</v>
      </c>
      <c r="B170" s="3" t="s">
        <v>228</v>
      </c>
      <c r="C170" s="4">
        <v>10</v>
      </c>
      <c r="D170" s="131">
        <v>44909</v>
      </c>
      <c r="E170" s="132">
        <v>89.7</v>
      </c>
      <c r="F170" s="132">
        <f t="shared" si="0"/>
        <v>897</v>
      </c>
      <c r="G170" s="132">
        <v>0.04</v>
      </c>
      <c r="H170" s="132">
        <v>0.22</v>
      </c>
      <c r="I170" s="132"/>
      <c r="J170" s="67">
        <f t="shared" si="1"/>
        <v>897.26</v>
      </c>
      <c r="K170" s="3"/>
      <c r="L170" s="45"/>
      <c r="M170" s="45"/>
      <c r="N170" s="137"/>
      <c r="O170" s="137"/>
    </row>
    <row r="171" customHeight="1" spans="1:15">
      <c r="A171" s="7" t="s">
        <v>22</v>
      </c>
      <c r="B171" s="7" t="s">
        <v>228</v>
      </c>
      <c r="C171" s="8">
        <v>10</v>
      </c>
      <c r="D171" s="133">
        <v>44909</v>
      </c>
      <c r="E171" s="134">
        <v>92.5</v>
      </c>
      <c r="F171" s="134">
        <f t="shared" si="0"/>
        <v>925</v>
      </c>
      <c r="G171" s="134">
        <v>0.05</v>
      </c>
      <c r="H171" s="134">
        <v>0.23</v>
      </c>
      <c r="I171" s="134"/>
      <c r="J171" s="138">
        <f t="shared" si="1"/>
        <v>925.28</v>
      </c>
      <c r="K171" s="7"/>
      <c r="L171" s="45"/>
      <c r="M171" s="45"/>
      <c r="N171" s="137"/>
      <c r="O171" s="137"/>
    </row>
    <row r="172" customHeight="1" spans="1:15">
      <c r="A172" s="3" t="s">
        <v>42</v>
      </c>
      <c r="B172" s="3" t="s">
        <v>228</v>
      </c>
      <c r="C172" s="4">
        <v>10</v>
      </c>
      <c r="D172" s="131">
        <v>44908</v>
      </c>
      <c r="E172" s="132">
        <v>90.55</v>
      </c>
      <c r="F172" s="132">
        <f t="shared" si="0"/>
        <v>905.5</v>
      </c>
      <c r="G172" s="132">
        <v>0.04</v>
      </c>
      <c r="H172" s="132">
        <v>0.22</v>
      </c>
      <c r="I172" s="132"/>
      <c r="J172" s="67">
        <f t="shared" si="1"/>
        <v>905.76</v>
      </c>
      <c r="K172" s="3"/>
      <c r="L172" s="45"/>
      <c r="M172" s="45"/>
      <c r="N172" s="137"/>
      <c r="O172" s="137"/>
    </row>
    <row r="173" customHeight="1" spans="1:15">
      <c r="A173" s="7" t="s">
        <v>26</v>
      </c>
      <c r="B173" s="7" t="s">
        <v>228</v>
      </c>
      <c r="C173" s="8">
        <v>90</v>
      </c>
      <c r="D173" s="133">
        <v>44907</v>
      </c>
      <c r="E173" s="134">
        <f>90.3/9</f>
        <v>10.0333333333333</v>
      </c>
      <c r="F173" s="134">
        <f t="shared" si="0"/>
        <v>903</v>
      </c>
      <c r="G173" s="134">
        <v>0.04</v>
      </c>
      <c r="H173" s="134">
        <v>0.22</v>
      </c>
      <c r="I173" s="134"/>
      <c r="J173" s="138">
        <f t="shared" si="1"/>
        <v>903.26</v>
      </c>
      <c r="K173" s="7"/>
      <c r="L173" s="45"/>
      <c r="M173" s="45"/>
      <c r="N173" s="137"/>
      <c r="O173" s="137"/>
    </row>
    <row r="174" customHeight="1" spans="1:15">
      <c r="A174" s="3" t="s">
        <v>22</v>
      </c>
      <c r="B174" s="3" t="s">
        <v>228</v>
      </c>
      <c r="C174" s="4">
        <v>10</v>
      </c>
      <c r="D174" s="131">
        <v>44907</v>
      </c>
      <c r="E174" s="132">
        <v>93.4</v>
      </c>
      <c r="F174" s="132">
        <f t="shared" si="0"/>
        <v>934</v>
      </c>
      <c r="G174" s="132">
        <v>0.05</v>
      </c>
      <c r="H174" s="132">
        <v>0.23</v>
      </c>
      <c r="I174" s="132"/>
      <c r="J174" s="67">
        <f t="shared" si="1"/>
        <v>934.28</v>
      </c>
      <c r="K174" s="3"/>
      <c r="L174" s="45"/>
      <c r="M174" s="45"/>
      <c r="N174" s="137"/>
      <c r="O174" s="137"/>
    </row>
    <row r="175" customHeight="1" spans="1:15">
      <c r="A175" s="7" t="s">
        <v>22</v>
      </c>
      <c r="B175" s="7" t="s">
        <v>228</v>
      </c>
      <c r="C175" s="8">
        <v>10</v>
      </c>
      <c r="D175" s="133">
        <v>44903</v>
      </c>
      <c r="E175" s="134">
        <v>93.5</v>
      </c>
      <c r="F175" s="134">
        <f t="shared" si="0"/>
        <v>935</v>
      </c>
      <c r="G175" s="134">
        <v>0.04</v>
      </c>
      <c r="H175" s="134">
        <v>0.23</v>
      </c>
      <c r="I175" s="134"/>
      <c r="J175" s="138">
        <f t="shared" si="1"/>
        <v>935.27</v>
      </c>
      <c r="K175" s="7"/>
      <c r="L175" s="45"/>
      <c r="M175" s="45"/>
      <c r="N175" s="137"/>
      <c r="O175" s="137"/>
    </row>
    <row r="176" customHeight="1" spans="1:15">
      <c r="A176" s="3" t="s">
        <v>29</v>
      </c>
      <c r="B176" s="3" t="s">
        <v>228</v>
      </c>
      <c r="C176" s="4">
        <v>10</v>
      </c>
      <c r="D176" s="131">
        <v>44903</v>
      </c>
      <c r="E176" s="132">
        <v>99.9</v>
      </c>
      <c r="F176" s="132">
        <f t="shared" si="0"/>
        <v>999</v>
      </c>
      <c r="G176" s="132">
        <v>0.05</v>
      </c>
      <c r="H176" s="132">
        <v>0.25</v>
      </c>
      <c r="I176" s="132"/>
      <c r="J176" s="67">
        <f t="shared" si="1"/>
        <v>999.3</v>
      </c>
      <c r="K176" s="3"/>
      <c r="L176" s="45"/>
      <c r="M176" s="45"/>
      <c r="N176" s="137"/>
      <c r="O176" s="137"/>
    </row>
    <row r="177" customHeight="1" spans="1:15">
      <c r="A177" s="7" t="s">
        <v>33</v>
      </c>
      <c r="B177" s="7" t="s">
        <v>228</v>
      </c>
      <c r="C177" s="8">
        <v>10</v>
      </c>
      <c r="D177" s="133">
        <v>44901</v>
      </c>
      <c r="E177" s="134">
        <v>98.5</v>
      </c>
      <c r="F177" s="134">
        <f t="shared" si="0"/>
        <v>985</v>
      </c>
      <c r="G177" s="134">
        <v>0.05</v>
      </c>
      <c r="H177" s="134">
        <v>0.25</v>
      </c>
      <c r="I177" s="134"/>
      <c r="J177" s="138">
        <f t="shared" si="1"/>
        <v>985.3</v>
      </c>
      <c r="K177" s="7"/>
      <c r="L177" s="45"/>
      <c r="M177" s="45"/>
      <c r="N177" s="137"/>
      <c r="O177" s="137"/>
    </row>
    <row r="178" customHeight="1" spans="1:15">
      <c r="A178" s="3" t="s">
        <v>27</v>
      </c>
      <c r="B178" s="3" t="s">
        <v>228</v>
      </c>
      <c r="C178" s="4">
        <v>10</v>
      </c>
      <c r="D178" s="131">
        <v>44901</v>
      </c>
      <c r="E178" s="132">
        <v>97.55</v>
      </c>
      <c r="F178" s="132">
        <f t="shared" si="0"/>
        <v>975.5</v>
      </c>
      <c r="G178" s="132">
        <v>0.04</v>
      </c>
      <c r="H178" s="132">
        <v>0.24</v>
      </c>
      <c r="I178" s="132"/>
      <c r="J178" s="67">
        <f t="shared" si="1"/>
        <v>975.78</v>
      </c>
      <c r="K178" s="3"/>
      <c r="L178" s="45"/>
      <c r="M178" s="45"/>
      <c r="N178" s="137"/>
      <c r="O178" s="137"/>
    </row>
    <row r="179" customHeight="1" spans="1:15">
      <c r="A179" s="7" t="s">
        <v>42</v>
      </c>
      <c r="B179" s="7" t="s">
        <v>228</v>
      </c>
      <c r="C179" s="8">
        <v>10</v>
      </c>
      <c r="D179" s="133">
        <v>44900</v>
      </c>
      <c r="E179" s="134">
        <v>90.5</v>
      </c>
      <c r="F179" s="134">
        <f t="shared" si="0"/>
        <v>905</v>
      </c>
      <c r="G179" s="134">
        <v>0.04</v>
      </c>
      <c r="H179" s="134">
        <v>0.22</v>
      </c>
      <c r="I179" s="134"/>
      <c r="J179" s="138">
        <f t="shared" si="1"/>
        <v>905.26</v>
      </c>
      <c r="K179" s="7"/>
      <c r="L179" s="45"/>
      <c r="M179" s="45"/>
      <c r="N179" s="137"/>
      <c r="O179" s="137"/>
    </row>
    <row r="180" customHeight="1" spans="1:15">
      <c r="A180" s="3" t="s">
        <v>23</v>
      </c>
      <c r="B180" s="3" t="s">
        <v>228</v>
      </c>
      <c r="C180" s="4">
        <v>15</v>
      </c>
      <c r="D180" s="131">
        <v>44895</v>
      </c>
      <c r="E180" s="132">
        <v>87.75</v>
      </c>
      <c r="F180" s="132">
        <f t="shared" si="0"/>
        <v>1316.25</v>
      </c>
      <c r="G180" s="132">
        <v>0.06</v>
      </c>
      <c r="H180" s="132">
        <v>0.33</v>
      </c>
      <c r="I180" s="132"/>
      <c r="J180" s="67">
        <f t="shared" si="1"/>
        <v>1316.64</v>
      </c>
      <c r="K180" s="3"/>
      <c r="L180" s="45"/>
      <c r="M180" s="45"/>
      <c r="N180" s="137"/>
      <c r="O180" s="137"/>
    </row>
    <row r="181" customHeight="1" spans="1:15">
      <c r="A181" s="7" t="s">
        <v>30</v>
      </c>
      <c r="B181" s="7" t="s">
        <v>228</v>
      </c>
      <c r="C181" s="8">
        <v>15</v>
      </c>
      <c r="D181" s="133">
        <v>45008</v>
      </c>
      <c r="E181" s="134">
        <v>97.95</v>
      </c>
      <c r="F181" s="134">
        <f t="shared" si="0"/>
        <v>1469.25</v>
      </c>
      <c r="G181" s="134">
        <v>0.07</v>
      </c>
      <c r="H181" s="134">
        <v>0.36</v>
      </c>
      <c r="I181" s="134"/>
      <c r="J181" s="138">
        <f t="shared" si="1"/>
        <v>1469.68</v>
      </c>
      <c r="K181" s="7"/>
      <c r="L181" s="45"/>
      <c r="M181" s="45"/>
      <c r="N181" s="137"/>
      <c r="O181" s="137"/>
    </row>
    <row r="182" customHeight="1" spans="1:15">
      <c r="A182" s="3" t="s">
        <v>26</v>
      </c>
      <c r="B182" s="3" t="s">
        <v>228</v>
      </c>
      <c r="C182" s="4">
        <v>90</v>
      </c>
      <c r="D182" s="131">
        <v>44886</v>
      </c>
      <c r="E182" s="132">
        <f>91.16/9</f>
        <v>10.1288888888889</v>
      </c>
      <c r="F182" s="132">
        <f t="shared" si="0"/>
        <v>911.6</v>
      </c>
      <c r="G182" s="132">
        <v>0.04</v>
      </c>
      <c r="H182" s="132">
        <v>0.22</v>
      </c>
      <c r="I182" s="132"/>
      <c r="J182" s="67">
        <f t="shared" si="1"/>
        <v>911.86</v>
      </c>
      <c r="K182" s="3"/>
      <c r="L182" s="45"/>
      <c r="M182" s="45"/>
      <c r="N182" s="137"/>
      <c r="O182" s="137"/>
    </row>
    <row r="183" customHeight="1" spans="1:15">
      <c r="A183" s="7" t="s">
        <v>20</v>
      </c>
      <c r="B183" s="7" t="s">
        <v>228</v>
      </c>
      <c r="C183" s="8">
        <v>10</v>
      </c>
      <c r="D183" s="133">
        <v>44882</v>
      </c>
      <c r="E183" s="134">
        <v>85.5</v>
      </c>
      <c r="F183" s="134">
        <f t="shared" si="0"/>
        <v>855</v>
      </c>
      <c r="G183" s="134">
        <v>0.04</v>
      </c>
      <c r="H183" s="134">
        <v>0.21</v>
      </c>
      <c r="I183" s="134"/>
      <c r="J183" s="138">
        <f t="shared" si="1"/>
        <v>855.25</v>
      </c>
      <c r="K183" s="7"/>
      <c r="L183" s="45"/>
      <c r="M183" s="45"/>
      <c r="N183" s="137"/>
      <c r="O183" s="137"/>
    </row>
    <row r="184" customHeight="1" spans="1:15">
      <c r="A184" s="3" t="s">
        <v>23</v>
      </c>
      <c r="B184" s="3" t="s">
        <v>228</v>
      </c>
      <c r="C184" s="4">
        <v>10</v>
      </c>
      <c r="D184" s="131">
        <v>44882</v>
      </c>
      <c r="E184" s="132">
        <v>87.95</v>
      </c>
      <c r="F184" s="132">
        <f t="shared" si="0"/>
        <v>879.5</v>
      </c>
      <c r="G184" s="132">
        <v>0.04</v>
      </c>
      <c r="H184" s="132">
        <v>0.22</v>
      </c>
      <c r="I184" s="132"/>
      <c r="J184" s="67">
        <f t="shared" si="1"/>
        <v>879.76</v>
      </c>
      <c r="K184" s="3"/>
      <c r="L184" s="45"/>
      <c r="M184" s="45"/>
      <c r="N184" s="137"/>
      <c r="O184" s="137"/>
    </row>
    <row r="185" customHeight="1" spans="1:15">
      <c r="A185" s="7" t="s">
        <v>24</v>
      </c>
      <c r="B185" s="7" t="s">
        <v>228</v>
      </c>
      <c r="C185" s="8">
        <v>10</v>
      </c>
      <c r="D185" s="133">
        <v>44882</v>
      </c>
      <c r="E185" s="134">
        <v>94.3</v>
      </c>
      <c r="F185" s="134">
        <f t="shared" si="0"/>
        <v>943</v>
      </c>
      <c r="G185" s="134">
        <v>0.05</v>
      </c>
      <c r="H185" s="134">
        <v>0.24</v>
      </c>
      <c r="I185" s="134"/>
      <c r="J185" s="138">
        <f t="shared" si="1"/>
        <v>943.29</v>
      </c>
      <c r="K185" s="7"/>
      <c r="L185" s="45"/>
      <c r="M185" s="45"/>
      <c r="N185" s="137"/>
      <c r="O185" s="137"/>
    </row>
    <row r="186" customHeight="1" spans="1:15">
      <c r="A186" s="3" t="s">
        <v>30</v>
      </c>
      <c r="B186" s="3" t="s">
        <v>228</v>
      </c>
      <c r="C186" s="4">
        <v>10</v>
      </c>
      <c r="D186" s="131">
        <v>44882</v>
      </c>
      <c r="E186" s="132">
        <v>98.8</v>
      </c>
      <c r="F186" s="132">
        <f t="shared" si="0"/>
        <v>988</v>
      </c>
      <c r="G186" s="132">
        <v>0.05</v>
      </c>
      <c r="H186" s="132">
        <v>0.25</v>
      </c>
      <c r="I186" s="132"/>
      <c r="J186" s="67">
        <f t="shared" si="1"/>
        <v>988.3</v>
      </c>
      <c r="K186" s="3"/>
      <c r="L186" s="45"/>
      <c r="M186" s="45"/>
      <c r="N186" s="137"/>
      <c r="O186" s="137"/>
    </row>
    <row r="187" customHeight="1" spans="1:15">
      <c r="A187" s="7" t="s">
        <v>25</v>
      </c>
      <c r="B187" s="7" t="s">
        <v>228</v>
      </c>
      <c r="C187" s="8">
        <v>20</v>
      </c>
      <c r="D187" s="133">
        <v>44882</v>
      </c>
      <c r="E187" s="134">
        <v>93.25</v>
      </c>
      <c r="F187" s="134">
        <f t="shared" si="0"/>
        <v>1865</v>
      </c>
      <c r="G187" s="134">
        <v>0.09</v>
      </c>
      <c r="H187" s="134">
        <v>0.47</v>
      </c>
      <c r="I187" s="134"/>
      <c r="J187" s="138">
        <f t="shared" si="1"/>
        <v>1865.56</v>
      </c>
      <c r="K187" s="7"/>
      <c r="L187" s="45"/>
      <c r="M187" s="45"/>
      <c r="N187" s="137"/>
      <c r="O187" s="137"/>
    </row>
    <row r="188" customHeight="1" spans="1:15">
      <c r="A188" s="3" t="s">
        <v>42</v>
      </c>
      <c r="B188" s="3" t="s">
        <v>228</v>
      </c>
      <c r="C188" s="4">
        <v>10</v>
      </c>
      <c r="D188" s="131">
        <v>44882</v>
      </c>
      <c r="E188" s="132">
        <v>93.1</v>
      </c>
      <c r="F188" s="132">
        <f t="shared" si="0"/>
        <v>931</v>
      </c>
      <c r="G188" s="132">
        <v>0.05</v>
      </c>
      <c r="H188" s="132">
        <v>0.23</v>
      </c>
      <c r="I188" s="132"/>
      <c r="J188" s="67">
        <f t="shared" si="1"/>
        <v>931.28</v>
      </c>
      <c r="K188" s="3"/>
      <c r="L188" s="45"/>
      <c r="M188" s="45"/>
      <c r="N188" s="137"/>
      <c r="O188" s="137"/>
    </row>
    <row r="189" customHeight="1" spans="1:15">
      <c r="A189" s="7" t="s">
        <v>37</v>
      </c>
      <c r="B189" s="7" t="s">
        <v>228</v>
      </c>
      <c r="C189" s="8">
        <v>10</v>
      </c>
      <c r="D189" s="133">
        <v>44882</v>
      </c>
      <c r="E189" s="134">
        <v>191</v>
      </c>
      <c r="F189" s="134">
        <f t="shared" si="0"/>
        <v>1910</v>
      </c>
      <c r="G189" s="134">
        <v>0.09</v>
      </c>
      <c r="H189" s="134">
        <v>0.48</v>
      </c>
      <c r="I189" s="134"/>
      <c r="J189" s="138">
        <f t="shared" si="1"/>
        <v>1910.57</v>
      </c>
      <c r="K189" s="7"/>
      <c r="L189" s="45"/>
      <c r="M189" s="45"/>
      <c r="N189" s="137"/>
      <c r="O189" s="137"/>
    </row>
    <row r="190" customHeight="1" spans="1:15">
      <c r="A190" s="3" t="s">
        <v>42</v>
      </c>
      <c r="B190" s="3" t="s">
        <v>228</v>
      </c>
      <c r="C190" s="4">
        <v>10</v>
      </c>
      <c r="D190" s="131">
        <v>44881</v>
      </c>
      <c r="E190" s="132">
        <v>95.5</v>
      </c>
      <c r="F190" s="132">
        <f t="shared" si="0"/>
        <v>955</v>
      </c>
      <c r="G190" s="132">
        <v>0.05</v>
      </c>
      <c r="H190" s="132">
        <v>0.24</v>
      </c>
      <c r="I190" s="132"/>
      <c r="J190" s="67">
        <f t="shared" si="1"/>
        <v>955.29</v>
      </c>
      <c r="K190" s="3"/>
      <c r="L190" s="45"/>
      <c r="M190" s="45"/>
      <c r="N190" s="137"/>
      <c r="O190" s="137"/>
    </row>
    <row r="191" customHeight="1" spans="1:15">
      <c r="A191" s="7" t="s">
        <v>37</v>
      </c>
      <c r="B191" s="7" t="s">
        <v>228</v>
      </c>
      <c r="C191" s="8">
        <v>10</v>
      </c>
      <c r="D191" s="133">
        <v>44881</v>
      </c>
      <c r="E191" s="134">
        <v>197.5</v>
      </c>
      <c r="F191" s="134">
        <f t="shared" si="0"/>
        <v>1975</v>
      </c>
      <c r="G191" s="134">
        <v>0.09</v>
      </c>
      <c r="H191" s="134">
        <v>0.49</v>
      </c>
      <c r="I191" s="134"/>
      <c r="J191" s="138">
        <f t="shared" si="1"/>
        <v>1975.58</v>
      </c>
      <c r="K191" s="7"/>
      <c r="L191" s="45"/>
      <c r="M191" s="45"/>
      <c r="N191" s="137"/>
      <c r="O191" s="137"/>
    </row>
    <row r="192" customHeight="1" spans="1:15">
      <c r="A192" s="3" t="s">
        <v>26</v>
      </c>
      <c r="B192" s="3" t="s">
        <v>228</v>
      </c>
      <c r="C192" s="4">
        <v>90</v>
      </c>
      <c r="D192" s="131">
        <v>44879</v>
      </c>
      <c r="E192" s="132">
        <f>91.45/9</f>
        <v>10.1611111111111</v>
      </c>
      <c r="F192" s="132">
        <f t="shared" si="0"/>
        <v>914.5</v>
      </c>
      <c r="G192" s="132">
        <v>0.04</v>
      </c>
      <c r="H192" s="132">
        <v>0.23</v>
      </c>
      <c r="I192" s="132"/>
      <c r="J192" s="67">
        <f t="shared" si="1"/>
        <v>914.77</v>
      </c>
      <c r="K192" s="3"/>
      <c r="L192" s="45"/>
      <c r="M192" s="45"/>
      <c r="N192" s="137"/>
      <c r="O192" s="137"/>
    </row>
    <row r="193" customHeight="1" spans="1:15">
      <c r="A193" s="7" t="s">
        <v>29</v>
      </c>
      <c r="B193" s="7" t="s">
        <v>228</v>
      </c>
      <c r="C193" s="8">
        <v>10</v>
      </c>
      <c r="D193" s="133">
        <v>44879</v>
      </c>
      <c r="E193" s="134">
        <v>105.5</v>
      </c>
      <c r="F193" s="134">
        <f t="shared" si="0"/>
        <v>1055</v>
      </c>
      <c r="G193" s="134">
        <v>0.05</v>
      </c>
      <c r="H193" s="134">
        <v>0.26</v>
      </c>
      <c r="I193" s="134"/>
      <c r="J193" s="138">
        <f t="shared" si="1"/>
        <v>1055.31</v>
      </c>
      <c r="K193" s="7"/>
      <c r="L193" s="45"/>
      <c r="M193" s="45"/>
      <c r="N193" s="137"/>
      <c r="O193" s="137"/>
    </row>
    <row r="194" customHeight="1" spans="1:15">
      <c r="A194" s="3" t="s">
        <v>25</v>
      </c>
      <c r="B194" s="3" t="s">
        <v>228</v>
      </c>
      <c r="C194" s="4">
        <v>10</v>
      </c>
      <c r="D194" s="131">
        <v>44879</v>
      </c>
      <c r="E194" s="132">
        <v>96.45</v>
      </c>
      <c r="F194" s="132">
        <f t="shared" si="0"/>
        <v>964.5</v>
      </c>
      <c r="G194" s="132">
        <v>0.05</v>
      </c>
      <c r="H194" s="132">
        <v>0.24</v>
      </c>
      <c r="I194" s="132"/>
      <c r="J194" s="67">
        <f t="shared" si="1"/>
        <v>964.79</v>
      </c>
      <c r="K194" s="3"/>
      <c r="L194" s="45"/>
      <c r="M194" s="45"/>
      <c r="N194" s="137"/>
      <c r="O194" s="137"/>
    </row>
    <row r="195" customHeight="1" spans="1:15">
      <c r="A195" s="7" t="s">
        <v>30</v>
      </c>
      <c r="B195" s="7" t="s">
        <v>228</v>
      </c>
      <c r="C195" s="8">
        <v>10</v>
      </c>
      <c r="D195" s="133">
        <v>44876</v>
      </c>
      <c r="E195" s="134">
        <v>100.95</v>
      </c>
      <c r="F195" s="134">
        <f t="shared" si="0"/>
        <v>1009.5</v>
      </c>
      <c r="G195" s="134">
        <v>0.05</v>
      </c>
      <c r="H195" s="134">
        <v>0.25</v>
      </c>
      <c r="I195" s="134"/>
      <c r="J195" s="138">
        <f t="shared" si="1"/>
        <v>1009.8</v>
      </c>
      <c r="K195" s="7"/>
      <c r="L195" s="45"/>
      <c r="M195" s="45"/>
      <c r="N195" s="137"/>
      <c r="O195" s="137"/>
    </row>
    <row r="196" customHeight="1" spans="1:15">
      <c r="A196" s="3" t="s">
        <v>30</v>
      </c>
      <c r="B196" s="3" t="s">
        <v>228</v>
      </c>
      <c r="C196" s="4">
        <v>10</v>
      </c>
      <c r="D196" s="131">
        <v>44875</v>
      </c>
      <c r="E196" s="132">
        <v>101.25</v>
      </c>
      <c r="F196" s="132">
        <f t="shared" si="0"/>
        <v>1012.5</v>
      </c>
      <c r="G196" s="132">
        <v>0.05</v>
      </c>
      <c r="H196" s="132">
        <v>0.25</v>
      </c>
      <c r="I196" s="132"/>
      <c r="J196" s="67">
        <f t="shared" si="1"/>
        <v>1012.8</v>
      </c>
      <c r="K196" s="3"/>
      <c r="L196" s="45"/>
      <c r="M196" s="45"/>
      <c r="N196" s="137"/>
      <c r="O196" s="137"/>
    </row>
    <row r="197" customHeight="1" spans="1:15">
      <c r="A197" s="7" t="s">
        <v>25</v>
      </c>
      <c r="B197" s="7" t="s">
        <v>228</v>
      </c>
      <c r="C197" s="8">
        <v>10</v>
      </c>
      <c r="D197" s="133">
        <v>44875</v>
      </c>
      <c r="E197" s="134">
        <v>97.2</v>
      </c>
      <c r="F197" s="134">
        <f t="shared" si="0"/>
        <v>972</v>
      </c>
      <c r="G197" s="134">
        <v>0.04</v>
      </c>
      <c r="H197" s="134">
        <v>0.24</v>
      </c>
      <c r="I197" s="134"/>
      <c r="J197" s="138">
        <f t="shared" si="1"/>
        <v>972.28</v>
      </c>
      <c r="K197" s="7"/>
      <c r="L197" s="45"/>
      <c r="M197" s="45"/>
      <c r="N197" s="137"/>
      <c r="O197" s="137"/>
    </row>
    <row r="198" customHeight="1" spans="1:15">
      <c r="A198" s="3" t="s">
        <v>25</v>
      </c>
      <c r="B198" s="3" t="s">
        <v>228</v>
      </c>
      <c r="C198" s="4">
        <v>40</v>
      </c>
      <c r="D198" s="131">
        <v>44868</v>
      </c>
      <c r="E198" s="132">
        <v>97.843</v>
      </c>
      <c r="F198" s="132">
        <f t="shared" si="0"/>
        <v>3913.72</v>
      </c>
      <c r="G198" s="132">
        <v>0.19</v>
      </c>
      <c r="H198" s="132">
        <v>0.97</v>
      </c>
      <c r="I198" s="132"/>
      <c r="J198" s="67">
        <f t="shared" si="1"/>
        <v>3914.88</v>
      </c>
      <c r="K198" s="3"/>
      <c r="L198" s="45"/>
      <c r="M198" s="45"/>
      <c r="N198" s="137"/>
      <c r="O198" s="137"/>
    </row>
    <row r="199" customHeight="1" spans="1:15">
      <c r="A199" s="7" t="s">
        <v>25</v>
      </c>
      <c r="B199" s="7" t="s">
        <v>228</v>
      </c>
      <c r="C199" s="8">
        <v>15</v>
      </c>
      <c r="D199" s="133">
        <v>44852</v>
      </c>
      <c r="E199" s="134">
        <v>98.9</v>
      </c>
      <c r="F199" s="134">
        <f t="shared" si="0"/>
        <v>1483.5</v>
      </c>
      <c r="G199" s="134">
        <v>0.07</v>
      </c>
      <c r="H199" s="134">
        <v>0.37</v>
      </c>
      <c r="I199" s="134"/>
      <c r="J199" s="138">
        <f t="shared" si="1"/>
        <v>1483.94</v>
      </c>
      <c r="K199" s="7"/>
      <c r="L199" s="45"/>
      <c r="M199" s="45"/>
      <c r="N199" s="137"/>
      <c r="O199" s="137"/>
    </row>
    <row r="200" customHeight="1" spans="1:15">
      <c r="A200" s="3" t="s">
        <v>23</v>
      </c>
      <c r="B200" s="3" t="s">
        <v>228</v>
      </c>
      <c r="C200" s="4">
        <v>14</v>
      </c>
      <c r="D200" s="131">
        <v>44852</v>
      </c>
      <c r="E200" s="132">
        <v>88.4</v>
      </c>
      <c r="F200" s="132">
        <f t="shared" si="0"/>
        <v>1237.6</v>
      </c>
      <c r="G200" s="132">
        <v>0.06</v>
      </c>
      <c r="H200" s="132">
        <v>0.31</v>
      </c>
      <c r="I200" s="132"/>
      <c r="J200" s="67">
        <f t="shared" si="1"/>
        <v>1237.97</v>
      </c>
      <c r="K200" s="3"/>
      <c r="L200" s="45"/>
      <c r="M200" s="45"/>
      <c r="N200" s="137"/>
      <c r="O200" s="137"/>
    </row>
    <row r="201" customHeight="1" spans="1:15">
      <c r="A201" s="7" t="s">
        <v>23</v>
      </c>
      <c r="B201" s="7" t="s">
        <v>228</v>
      </c>
      <c r="C201" s="8">
        <v>4</v>
      </c>
      <c r="D201" s="133">
        <v>44851</v>
      </c>
      <c r="E201" s="134">
        <v>88.4</v>
      </c>
      <c r="F201" s="134">
        <f t="shared" si="0"/>
        <v>353.6</v>
      </c>
      <c r="G201" s="134">
        <v>0.01</v>
      </c>
      <c r="H201" s="134">
        <v>0.08</v>
      </c>
      <c r="I201" s="134"/>
      <c r="J201" s="138">
        <f t="shared" si="1"/>
        <v>353.69</v>
      </c>
      <c r="K201" s="7"/>
      <c r="L201" s="45"/>
      <c r="M201" s="45"/>
      <c r="N201" s="137"/>
      <c r="O201" s="137"/>
    </row>
    <row r="202" customHeight="1" spans="1:15">
      <c r="A202" s="3" t="s">
        <v>20</v>
      </c>
      <c r="B202" s="3" t="s">
        <v>228</v>
      </c>
      <c r="C202" s="4">
        <v>15</v>
      </c>
      <c r="D202" s="131">
        <v>44847</v>
      </c>
      <c r="E202" s="132">
        <v>88.25</v>
      </c>
      <c r="F202" s="132">
        <f t="shared" si="0"/>
        <v>1323.75</v>
      </c>
      <c r="G202" s="132">
        <v>0.06</v>
      </c>
      <c r="H202" s="132">
        <v>0.33</v>
      </c>
      <c r="I202" s="132"/>
      <c r="J202" s="67">
        <f t="shared" si="1"/>
        <v>1324.14</v>
      </c>
      <c r="K202" s="3"/>
      <c r="L202" s="45"/>
      <c r="M202" s="45"/>
      <c r="N202" s="137"/>
      <c r="O202" s="137"/>
    </row>
    <row r="203" customHeight="1" spans="1:15">
      <c r="A203" s="7" t="s">
        <v>23</v>
      </c>
      <c r="B203" s="7" t="s">
        <v>228</v>
      </c>
      <c r="C203" s="8">
        <v>15</v>
      </c>
      <c r="D203" s="133">
        <v>44837</v>
      </c>
      <c r="E203" s="134">
        <v>88.45</v>
      </c>
      <c r="F203" s="134">
        <f t="shared" si="0"/>
        <v>1326.75</v>
      </c>
      <c r="G203" s="134">
        <v>0.06</v>
      </c>
      <c r="H203" s="134">
        <v>0.33</v>
      </c>
      <c r="I203" s="134"/>
      <c r="J203" s="138">
        <f t="shared" si="1"/>
        <v>1327.14</v>
      </c>
      <c r="K203" s="7"/>
      <c r="L203" s="45"/>
      <c r="M203" s="45"/>
      <c r="N203" s="137"/>
      <c r="O203" s="137"/>
    </row>
    <row r="204" customHeight="1" spans="1:15">
      <c r="A204" s="3" t="s">
        <v>23</v>
      </c>
      <c r="B204" s="3" t="s">
        <v>228</v>
      </c>
      <c r="C204" s="4">
        <v>10</v>
      </c>
      <c r="D204" s="131">
        <v>44833</v>
      </c>
      <c r="E204" s="132">
        <v>89.85</v>
      </c>
      <c r="F204" s="132">
        <f t="shared" si="0"/>
        <v>898.5</v>
      </c>
      <c r="G204" s="132">
        <v>0.04</v>
      </c>
      <c r="H204" s="132">
        <v>0.22</v>
      </c>
      <c r="I204" s="132"/>
      <c r="J204" s="67">
        <f t="shared" si="1"/>
        <v>898.76</v>
      </c>
      <c r="K204" s="3"/>
      <c r="L204" s="45"/>
      <c r="M204" s="45"/>
      <c r="N204" s="137"/>
      <c r="O204" s="137"/>
    </row>
    <row r="205" customHeight="1" spans="1:15">
      <c r="A205" s="7" t="s">
        <v>20</v>
      </c>
      <c r="B205" s="7" t="s">
        <v>228</v>
      </c>
      <c r="C205" s="8">
        <v>10</v>
      </c>
      <c r="D205" s="133">
        <v>44832</v>
      </c>
      <c r="E205" s="134">
        <v>89.7</v>
      </c>
      <c r="F205" s="134">
        <f t="shared" si="0"/>
        <v>897</v>
      </c>
      <c r="G205" s="134">
        <f>0.000047692045658*F208-0.01</f>
        <v>0.03793050588629</v>
      </c>
      <c r="H205" s="134">
        <f>0.0002486799523*F208-0.03</f>
        <v>0.2199233520615</v>
      </c>
      <c r="I205" s="134"/>
      <c r="J205" s="138">
        <f t="shared" si="1"/>
        <v>897.257853857948</v>
      </c>
      <c r="K205" s="7"/>
      <c r="L205" s="45"/>
      <c r="M205" s="45"/>
      <c r="N205" s="137"/>
      <c r="O205" s="137"/>
    </row>
    <row r="206" customHeight="1" spans="1:15">
      <c r="A206" s="3" t="s">
        <v>15</v>
      </c>
      <c r="B206" s="3" t="s">
        <v>228</v>
      </c>
      <c r="C206" s="4">
        <v>9</v>
      </c>
      <c r="D206" s="5">
        <v>44053</v>
      </c>
      <c r="E206" s="132">
        <v>155.37</v>
      </c>
      <c r="F206" s="132">
        <f t="shared" si="0"/>
        <v>1398.33</v>
      </c>
      <c r="G206" s="132">
        <v>0</v>
      </c>
      <c r="H206" s="132">
        <v>0</v>
      </c>
      <c r="I206" s="132"/>
      <c r="J206" s="67">
        <f t="shared" si="1"/>
        <v>1398.33</v>
      </c>
      <c r="K206" s="3" t="s">
        <v>230</v>
      </c>
      <c r="L206" s="45"/>
      <c r="M206" s="45"/>
      <c r="N206" s="137"/>
      <c r="O206" s="137"/>
    </row>
    <row r="207" customHeight="1" spans="1:15">
      <c r="A207" s="7" t="s">
        <v>159</v>
      </c>
      <c r="B207" s="7" t="s">
        <v>229</v>
      </c>
      <c r="C207" s="8">
        <v>-260</v>
      </c>
      <c r="D207" s="9">
        <v>43943</v>
      </c>
      <c r="E207" s="134">
        <v>126.7345</v>
      </c>
      <c r="F207" s="134">
        <f t="shared" si="0"/>
        <v>-32950.97</v>
      </c>
      <c r="G207" s="134">
        <v>0</v>
      </c>
      <c r="H207" s="134">
        <v>0</v>
      </c>
      <c r="I207" s="134"/>
      <c r="J207" s="138">
        <f t="shared" si="1"/>
        <v>-32950.97</v>
      </c>
      <c r="K207" s="7"/>
      <c r="L207" s="45"/>
      <c r="M207" s="45"/>
      <c r="N207" s="137"/>
      <c r="O207" s="137"/>
    </row>
    <row r="208" customHeight="1" spans="1:15">
      <c r="A208" s="3" t="s">
        <v>25</v>
      </c>
      <c r="B208" s="3" t="s">
        <v>228</v>
      </c>
      <c r="C208" s="4">
        <v>10</v>
      </c>
      <c r="D208" s="5">
        <v>44827</v>
      </c>
      <c r="E208" s="132">
        <v>100.5</v>
      </c>
      <c r="F208" s="132">
        <f t="shared" si="0"/>
        <v>1005</v>
      </c>
      <c r="G208" s="132">
        <f>0.000047692045658*F208</f>
        <v>0.04793050588629</v>
      </c>
      <c r="H208" s="132">
        <f t="shared" ref="H208:H211" si="2">0.0002486799523*F208</f>
        <v>0.2499233520615</v>
      </c>
      <c r="I208" s="132"/>
      <c r="J208" s="67">
        <f t="shared" si="1"/>
        <v>1005.29785385795</v>
      </c>
      <c r="K208" s="3"/>
      <c r="L208" s="45"/>
      <c r="M208" s="45"/>
      <c r="N208" s="137"/>
      <c r="O208" s="137"/>
    </row>
    <row r="209" customHeight="1" spans="1:15">
      <c r="A209" s="7" t="s">
        <v>23</v>
      </c>
      <c r="B209" s="7" t="s">
        <v>228</v>
      </c>
      <c r="C209" s="8">
        <v>10</v>
      </c>
      <c r="D209" s="9">
        <v>44827</v>
      </c>
      <c r="E209" s="134">
        <v>90.45</v>
      </c>
      <c r="F209" s="134">
        <f t="shared" si="0"/>
        <v>904.5</v>
      </c>
      <c r="G209" s="134">
        <f t="shared" ref="G209:G218" si="3">0.000047692045658*F209</f>
        <v>0.043137455297661</v>
      </c>
      <c r="H209" s="134">
        <f t="shared" si="2"/>
        <v>0.22493101685535</v>
      </c>
      <c r="I209" s="134"/>
      <c r="J209" s="138">
        <f t="shared" si="1"/>
        <v>904.768068472153</v>
      </c>
      <c r="K209" s="7"/>
      <c r="L209" s="45"/>
      <c r="M209" s="45"/>
      <c r="N209" s="137"/>
      <c r="O209" s="137"/>
    </row>
    <row r="210" customHeight="1" spans="1:15">
      <c r="A210" s="3" t="s">
        <v>33</v>
      </c>
      <c r="B210" s="3" t="s">
        <v>228</v>
      </c>
      <c r="C210" s="4">
        <v>20</v>
      </c>
      <c r="D210" s="5">
        <v>44823</v>
      </c>
      <c r="E210" s="132">
        <v>100.1</v>
      </c>
      <c r="F210" s="132">
        <f t="shared" si="0"/>
        <v>2002</v>
      </c>
      <c r="G210" s="132">
        <f t="shared" si="3"/>
        <v>0.095479475407316</v>
      </c>
      <c r="H210" s="132">
        <f t="shared" si="2"/>
        <v>0.4978572645046</v>
      </c>
      <c r="I210" s="132"/>
      <c r="J210" s="67">
        <f t="shared" si="1"/>
        <v>2002.59333673991</v>
      </c>
      <c r="K210" s="3"/>
      <c r="L210" s="45"/>
      <c r="M210" s="45"/>
      <c r="N210" s="137"/>
      <c r="O210" s="137"/>
    </row>
    <row r="211" customHeight="1" spans="1:15">
      <c r="A211" s="7" t="s">
        <v>23</v>
      </c>
      <c r="B211" s="7" t="s">
        <v>228</v>
      </c>
      <c r="C211" s="8">
        <v>20</v>
      </c>
      <c r="D211" s="9">
        <v>44823</v>
      </c>
      <c r="E211" s="134">
        <v>90.4</v>
      </c>
      <c r="F211" s="134">
        <f t="shared" si="0"/>
        <v>1808</v>
      </c>
      <c r="G211" s="134">
        <f t="shared" si="3"/>
        <v>0.086227218549664</v>
      </c>
      <c r="H211" s="134">
        <f t="shared" si="2"/>
        <v>0.4496133537584</v>
      </c>
      <c r="I211" s="134"/>
      <c r="J211" s="138">
        <f t="shared" si="1"/>
        <v>1808.53584057231</v>
      </c>
      <c r="K211" s="7"/>
      <c r="L211" s="45"/>
      <c r="M211" s="45"/>
      <c r="N211" s="137"/>
      <c r="O211" s="137"/>
    </row>
    <row r="212" customHeight="1" spans="1:15">
      <c r="A212" s="3" t="s">
        <v>26</v>
      </c>
      <c r="B212" s="3" t="s">
        <v>228</v>
      </c>
      <c r="C212" s="4">
        <v>90</v>
      </c>
      <c r="D212" s="5">
        <v>44797</v>
      </c>
      <c r="E212" s="132">
        <f>91.9/9</f>
        <v>10.2111111111111</v>
      </c>
      <c r="F212" s="132">
        <f t="shared" si="0"/>
        <v>919</v>
      </c>
      <c r="G212" s="132">
        <f t="shared" si="3"/>
        <v>0.043828989959702</v>
      </c>
      <c r="H212" s="132">
        <f>0.0002486799523*F212-0.01</f>
        <v>0.2185368761637</v>
      </c>
      <c r="I212" s="132"/>
      <c r="J212" s="67">
        <f t="shared" si="1"/>
        <v>919.262365866124</v>
      </c>
      <c r="K212" s="3"/>
      <c r="L212" s="45"/>
      <c r="M212" s="45"/>
      <c r="N212" s="137"/>
      <c r="O212" s="137"/>
    </row>
    <row r="213" customHeight="1" spans="1:15">
      <c r="A213" s="7" t="s">
        <v>25</v>
      </c>
      <c r="B213" s="7" t="s">
        <v>228</v>
      </c>
      <c r="C213" s="8">
        <v>20</v>
      </c>
      <c r="D213" s="9">
        <v>44796</v>
      </c>
      <c r="E213" s="134">
        <v>100.94</v>
      </c>
      <c r="F213" s="134">
        <f t="shared" si="0"/>
        <v>2018.8</v>
      </c>
      <c r="G213" s="134">
        <f t="shared" si="3"/>
        <v>0.0962807017743704</v>
      </c>
      <c r="H213" s="134">
        <f t="shared" ref="H213:H215" si="4">0.0002486799523*F213</f>
        <v>0.50203508770324</v>
      </c>
      <c r="I213" s="134"/>
      <c r="J213" s="138">
        <f t="shared" si="1"/>
        <v>2019.39831578948</v>
      </c>
      <c r="K213" s="7"/>
      <c r="L213" s="45"/>
      <c r="M213" s="45"/>
      <c r="N213" s="137"/>
      <c r="O213" s="137"/>
    </row>
    <row r="214" customHeight="1" spans="1:15">
      <c r="A214" s="3" t="s">
        <v>25</v>
      </c>
      <c r="B214" s="3" t="s">
        <v>228</v>
      </c>
      <c r="C214" s="4">
        <v>10</v>
      </c>
      <c r="D214" s="5">
        <v>44795</v>
      </c>
      <c r="E214" s="132">
        <v>101.2</v>
      </c>
      <c r="F214" s="132">
        <f t="shared" si="0"/>
        <v>1012</v>
      </c>
      <c r="G214" s="132">
        <f t="shared" si="3"/>
        <v>0.048264350205896</v>
      </c>
      <c r="H214" s="132">
        <f t="shared" si="4"/>
        <v>0.2516641117276</v>
      </c>
      <c r="I214" s="132"/>
      <c r="J214" s="67">
        <f t="shared" si="1"/>
        <v>1012.29992846193</v>
      </c>
      <c r="K214" s="3"/>
      <c r="L214" s="45"/>
      <c r="M214" s="45"/>
      <c r="N214" s="137"/>
      <c r="O214" s="137"/>
    </row>
    <row r="215" customHeight="1" spans="1:15">
      <c r="A215" s="7" t="s">
        <v>33</v>
      </c>
      <c r="B215" s="7" t="s">
        <v>228</v>
      </c>
      <c r="C215" s="8">
        <v>20</v>
      </c>
      <c r="D215" s="9">
        <v>44792</v>
      </c>
      <c r="E215" s="134">
        <v>100.95</v>
      </c>
      <c r="F215" s="134">
        <f t="shared" si="0"/>
        <v>2019</v>
      </c>
      <c r="G215" s="134">
        <f t="shared" si="3"/>
        <v>0.096290240183502</v>
      </c>
      <c r="H215" s="134">
        <f t="shared" si="4"/>
        <v>0.5020848236937</v>
      </c>
      <c r="I215" s="134"/>
      <c r="J215" s="138">
        <f t="shared" si="1"/>
        <v>2019.59837506388</v>
      </c>
      <c r="K215" s="7"/>
      <c r="L215" s="45"/>
      <c r="M215" s="45"/>
      <c r="N215" s="137"/>
      <c r="O215" s="137"/>
    </row>
    <row r="216" customHeight="1" spans="1:15">
      <c r="A216" s="3" t="s">
        <v>26</v>
      </c>
      <c r="B216" s="3" t="s">
        <v>228</v>
      </c>
      <c r="C216" s="4">
        <f>15*9</f>
        <v>135</v>
      </c>
      <c r="D216" s="5">
        <v>44785</v>
      </c>
      <c r="E216" s="132">
        <f>90.6/9</f>
        <v>10.0666666666667</v>
      </c>
      <c r="F216" s="132">
        <f t="shared" si="0"/>
        <v>1359</v>
      </c>
      <c r="G216" s="132">
        <f t="shared" si="3"/>
        <v>0.064813490049222</v>
      </c>
      <c r="H216" s="132">
        <f>0.0002486799523*F216-0.01</f>
        <v>0.3279560551757</v>
      </c>
      <c r="I216" s="132"/>
      <c r="J216" s="67">
        <f t="shared" si="1"/>
        <v>1359.39276954522</v>
      </c>
      <c r="K216" s="3"/>
      <c r="L216" s="45"/>
      <c r="M216" s="45"/>
      <c r="N216" s="137"/>
      <c r="O216" s="137"/>
    </row>
    <row r="217" customHeight="1" spans="1:15">
      <c r="A217" s="7" t="s">
        <v>26</v>
      </c>
      <c r="B217" s="7" t="s">
        <v>228</v>
      </c>
      <c r="C217" s="8">
        <v>90</v>
      </c>
      <c r="D217" s="9">
        <v>44783</v>
      </c>
      <c r="E217" s="134">
        <f>91.1/9</f>
        <v>10.1222222222222</v>
      </c>
      <c r="F217" s="134">
        <f t="shared" si="0"/>
        <v>911</v>
      </c>
      <c r="G217" s="134">
        <f t="shared" si="3"/>
        <v>0.043447453594438</v>
      </c>
      <c r="H217" s="134">
        <f t="shared" ref="H217:H218" si="5">0.0002486799523*F217</f>
        <v>0.2265474365453</v>
      </c>
      <c r="I217" s="134"/>
      <c r="J217" s="138">
        <f t="shared" si="1"/>
        <v>911.26999489014</v>
      </c>
      <c r="K217" s="7"/>
      <c r="L217" s="45"/>
      <c r="M217" s="45"/>
      <c r="N217" s="137"/>
      <c r="O217" s="137"/>
    </row>
    <row r="218" customHeight="1" spans="1:15">
      <c r="A218" s="3" t="s">
        <v>25</v>
      </c>
      <c r="B218" s="3" t="s">
        <v>228</v>
      </c>
      <c r="C218" s="4">
        <v>15</v>
      </c>
      <c r="D218" s="5">
        <v>44771</v>
      </c>
      <c r="E218" s="132">
        <v>102.61</v>
      </c>
      <c r="F218" s="132">
        <f t="shared" si="0"/>
        <v>1539.15</v>
      </c>
      <c r="G218" s="132">
        <f t="shared" si="3"/>
        <v>0.0734052120745107</v>
      </c>
      <c r="H218" s="132">
        <f t="shared" si="5"/>
        <v>0.382755748582545</v>
      </c>
      <c r="I218" s="132"/>
      <c r="J218" s="67">
        <f t="shared" si="1"/>
        <v>1539.60616096066</v>
      </c>
      <c r="K218" s="3"/>
      <c r="L218" s="45"/>
      <c r="M218" s="45"/>
      <c r="N218" s="137"/>
      <c r="O218" s="137"/>
    </row>
    <row r="219" customHeight="1" spans="1:15">
      <c r="A219" s="7" t="s">
        <v>25</v>
      </c>
      <c r="B219" s="7" t="s">
        <v>228</v>
      </c>
      <c r="C219" s="8">
        <v>25</v>
      </c>
      <c r="D219" s="9">
        <v>44771</v>
      </c>
      <c r="E219" s="134">
        <v>103.31</v>
      </c>
      <c r="F219" s="134">
        <f t="shared" si="0"/>
        <v>2582.75</v>
      </c>
      <c r="G219" s="134">
        <v>0.13</v>
      </c>
      <c r="H219" s="134">
        <v>0.65</v>
      </c>
      <c r="I219" s="134"/>
      <c r="J219" s="138">
        <f t="shared" si="1"/>
        <v>2583.53</v>
      </c>
      <c r="K219" s="7"/>
      <c r="L219" s="45"/>
      <c r="M219" s="45"/>
      <c r="N219" s="137"/>
      <c r="O219" s="137"/>
    </row>
    <row r="220" customHeight="1" spans="1:15">
      <c r="A220" s="3" t="s">
        <v>30</v>
      </c>
      <c r="B220" s="3" t="s">
        <v>228</v>
      </c>
      <c r="C220" s="4">
        <v>40</v>
      </c>
      <c r="D220" s="5">
        <v>44760</v>
      </c>
      <c r="E220" s="132">
        <v>97.325</v>
      </c>
      <c r="F220" s="132">
        <f t="shared" si="0"/>
        <v>3893</v>
      </c>
      <c r="G220" s="132">
        <f>0.000047692045658*F220</f>
        <v>0.185665133746594</v>
      </c>
      <c r="H220" s="132">
        <f t="shared" ref="H220:H224" si="6">0.0002486799523*F220</f>
        <v>0.9681110543039</v>
      </c>
      <c r="I220" s="132"/>
      <c r="J220" s="67">
        <f t="shared" si="1"/>
        <v>3894.15377618805</v>
      </c>
      <c r="K220" s="3"/>
      <c r="L220" s="45"/>
      <c r="M220" s="45"/>
      <c r="N220" s="137"/>
      <c r="O220" s="137"/>
    </row>
    <row r="221" customHeight="1" spans="1:15">
      <c r="A221" s="7" t="s">
        <v>30</v>
      </c>
      <c r="B221" s="7" t="s">
        <v>228</v>
      </c>
      <c r="C221" s="8">
        <v>10</v>
      </c>
      <c r="D221" s="9">
        <v>44754</v>
      </c>
      <c r="E221" s="134">
        <v>97.5</v>
      </c>
      <c r="F221" s="134">
        <f t="shared" si="0"/>
        <v>975</v>
      </c>
      <c r="G221" s="134">
        <v>0.04</v>
      </c>
      <c r="H221" s="134">
        <f t="shared" si="6"/>
        <v>0.2424629534925</v>
      </c>
      <c r="I221" s="134"/>
      <c r="J221" s="138">
        <f t="shared" si="1"/>
        <v>975.282462953492</v>
      </c>
      <c r="K221" s="7"/>
      <c r="L221" s="45"/>
      <c r="M221" s="45"/>
      <c r="N221" s="137"/>
      <c r="O221" s="137"/>
    </row>
    <row r="222" customHeight="1" spans="1:15">
      <c r="A222" s="3" t="s">
        <v>30</v>
      </c>
      <c r="B222" s="3" t="s">
        <v>228</v>
      </c>
      <c r="C222" s="4">
        <v>20</v>
      </c>
      <c r="D222" s="5">
        <v>44748</v>
      </c>
      <c r="E222" s="132">
        <v>97.55</v>
      </c>
      <c r="F222" s="132">
        <f t="shared" si="0"/>
        <v>1951</v>
      </c>
      <c r="G222" s="132">
        <f t="shared" ref="G222:G225" si="7">0.000047692045658*F222</f>
        <v>0.093047181078758</v>
      </c>
      <c r="H222" s="132">
        <f t="shared" si="6"/>
        <v>0.4851745869373</v>
      </c>
      <c r="I222" s="132"/>
      <c r="J222" s="67">
        <f t="shared" si="1"/>
        <v>1951.57822176802</v>
      </c>
      <c r="K222" s="3"/>
      <c r="L222" s="45"/>
      <c r="M222" s="45"/>
      <c r="N222" s="137"/>
      <c r="O222" s="137"/>
    </row>
    <row r="223" customHeight="1" spans="1:15">
      <c r="A223" s="7" t="s">
        <v>27</v>
      </c>
      <c r="B223" s="7" t="s">
        <v>228</v>
      </c>
      <c r="C223" s="8">
        <v>20</v>
      </c>
      <c r="D223" s="9">
        <v>44743</v>
      </c>
      <c r="E223" s="134">
        <v>99.9</v>
      </c>
      <c r="F223" s="134">
        <f t="shared" si="0"/>
        <v>1998</v>
      </c>
      <c r="G223" s="134">
        <f t="shared" si="7"/>
        <v>0.095288707224684</v>
      </c>
      <c r="H223" s="134">
        <f t="shared" si="6"/>
        <v>0.4968625446954</v>
      </c>
      <c r="I223" s="134"/>
      <c r="J223" s="138">
        <f t="shared" si="1"/>
        <v>1998.59215125192</v>
      </c>
      <c r="K223" s="7"/>
      <c r="L223" s="45"/>
      <c r="M223" s="45"/>
      <c r="N223" s="137"/>
      <c r="O223" s="137"/>
    </row>
    <row r="224" customHeight="1" spans="1:15">
      <c r="A224" s="3" t="s">
        <v>30</v>
      </c>
      <c r="B224" s="3" t="s">
        <v>228</v>
      </c>
      <c r="C224" s="4">
        <v>20</v>
      </c>
      <c r="D224" s="5">
        <v>44743</v>
      </c>
      <c r="E224" s="132">
        <v>99.4</v>
      </c>
      <c r="F224" s="132">
        <f t="shared" si="0"/>
        <v>1988</v>
      </c>
      <c r="G224" s="132">
        <f t="shared" si="7"/>
        <v>0.094811786768104</v>
      </c>
      <c r="H224" s="132">
        <f t="shared" si="6"/>
        <v>0.4943757451724</v>
      </c>
      <c r="I224" s="132"/>
      <c r="J224" s="67">
        <f t="shared" si="1"/>
        <v>1988.58918753194</v>
      </c>
      <c r="K224" s="3"/>
      <c r="L224" s="45"/>
      <c r="M224" s="45"/>
      <c r="N224" s="137"/>
      <c r="O224" s="137"/>
    </row>
    <row r="225" customHeight="1" spans="1:15">
      <c r="A225" s="7" t="s">
        <v>30</v>
      </c>
      <c r="B225" s="7" t="s">
        <v>228</v>
      </c>
      <c r="C225" s="8">
        <v>30</v>
      </c>
      <c r="D225" s="9">
        <v>44736</v>
      </c>
      <c r="E225" s="134">
        <v>99.9</v>
      </c>
      <c r="F225" s="134">
        <f t="shared" si="0"/>
        <v>2997</v>
      </c>
      <c r="G225" s="134">
        <f t="shared" si="7"/>
        <v>0.142933060837026</v>
      </c>
      <c r="H225" s="134">
        <v>0.74</v>
      </c>
      <c r="I225" s="134"/>
      <c r="J225" s="138">
        <f t="shared" si="1"/>
        <v>2997.88293306084</v>
      </c>
      <c r="K225" s="7"/>
      <c r="L225" s="45"/>
      <c r="M225" s="45"/>
      <c r="N225" s="137"/>
      <c r="O225" s="137"/>
    </row>
    <row r="226" customHeight="1" spans="1:15">
      <c r="A226" s="3" t="s">
        <v>27</v>
      </c>
      <c r="B226" s="3" t="s">
        <v>228</v>
      </c>
      <c r="C226" s="4">
        <v>20</v>
      </c>
      <c r="D226" s="5">
        <v>44735</v>
      </c>
      <c r="E226" s="132">
        <v>100.5</v>
      </c>
      <c r="F226" s="132">
        <f t="shared" si="0"/>
        <v>2010</v>
      </c>
      <c r="G226" s="132">
        <v>0.1</v>
      </c>
      <c r="H226" s="132">
        <v>0.5</v>
      </c>
      <c r="I226" s="132"/>
      <c r="J226" s="67">
        <f t="shared" si="1"/>
        <v>2010.6</v>
      </c>
      <c r="K226" s="3"/>
      <c r="L226" s="45"/>
      <c r="M226" s="45"/>
      <c r="N226" s="137"/>
      <c r="O226" s="137"/>
    </row>
    <row r="227" customHeight="1" spans="1:15">
      <c r="A227" s="7" t="s">
        <v>29</v>
      </c>
      <c r="B227" s="7" t="s">
        <v>228</v>
      </c>
      <c r="C227" s="8">
        <v>20</v>
      </c>
      <c r="D227" s="9">
        <v>44735</v>
      </c>
      <c r="E227" s="134">
        <v>97.9</v>
      </c>
      <c r="F227" s="134">
        <f t="shared" si="0"/>
        <v>1958</v>
      </c>
      <c r="G227" s="134">
        <v>0.09</v>
      </c>
      <c r="H227" s="134">
        <v>0.49</v>
      </c>
      <c r="I227" s="134"/>
      <c r="J227" s="138">
        <f t="shared" si="1"/>
        <v>1958.58</v>
      </c>
      <c r="K227" s="7"/>
      <c r="L227" s="45"/>
      <c r="M227" s="45"/>
      <c r="N227" s="137"/>
      <c r="O227" s="137"/>
    </row>
    <row r="228" customHeight="1" spans="1:15">
      <c r="A228" s="3" t="s">
        <v>29</v>
      </c>
      <c r="B228" s="3" t="s">
        <v>228</v>
      </c>
      <c r="C228" s="4">
        <v>30</v>
      </c>
      <c r="D228" s="5">
        <v>44732</v>
      </c>
      <c r="E228" s="132">
        <v>97.85</v>
      </c>
      <c r="F228" s="132">
        <f t="shared" si="0"/>
        <v>2935.5</v>
      </c>
      <c r="G228" s="132">
        <v>0.14</v>
      </c>
      <c r="H228" s="132">
        <v>0.73</v>
      </c>
      <c r="I228" s="132"/>
      <c r="J228" s="67">
        <f t="shared" si="1"/>
        <v>2936.37</v>
      </c>
      <c r="K228" s="3"/>
      <c r="L228" s="45"/>
      <c r="M228" s="45"/>
      <c r="N228" s="137"/>
      <c r="O228" s="137"/>
    </row>
    <row r="229" customHeight="1" spans="1:15">
      <c r="A229" s="7" t="s">
        <v>21</v>
      </c>
      <c r="B229" s="7" t="s">
        <v>228</v>
      </c>
      <c r="C229" s="8">
        <v>20</v>
      </c>
      <c r="D229" s="9">
        <v>44729</v>
      </c>
      <c r="E229" s="134">
        <v>126.8</v>
      </c>
      <c r="F229" s="134">
        <f t="shared" si="0"/>
        <v>2536</v>
      </c>
      <c r="G229" s="134">
        <v>0.12</v>
      </c>
      <c r="H229" s="134">
        <v>0.63</v>
      </c>
      <c r="I229" s="134"/>
      <c r="J229" s="138">
        <f t="shared" si="1"/>
        <v>2536.75</v>
      </c>
      <c r="K229" s="7"/>
      <c r="L229" s="45"/>
      <c r="M229" s="45"/>
      <c r="N229" s="137"/>
      <c r="O229" s="137"/>
    </row>
    <row r="230" customHeight="1" spans="1:15">
      <c r="A230" s="3" t="s">
        <v>29</v>
      </c>
      <c r="B230" s="3" t="s">
        <v>228</v>
      </c>
      <c r="C230" s="4">
        <v>10</v>
      </c>
      <c r="D230" s="5">
        <v>44729</v>
      </c>
      <c r="E230" s="132">
        <v>98</v>
      </c>
      <c r="F230" s="132">
        <f t="shared" si="0"/>
        <v>980</v>
      </c>
      <c r="G230" s="132">
        <v>0.05</v>
      </c>
      <c r="H230" s="132">
        <v>0.24</v>
      </c>
      <c r="I230" s="132"/>
      <c r="J230" s="67">
        <f t="shared" si="1"/>
        <v>980.29</v>
      </c>
      <c r="K230" s="3"/>
      <c r="L230" s="45"/>
      <c r="M230" s="45"/>
      <c r="N230" s="137"/>
      <c r="O230" s="137"/>
    </row>
    <row r="231" customHeight="1" spans="1:15">
      <c r="A231" s="7" t="s">
        <v>27</v>
      </c>
      <c r="B231" s="7" t="s">
        <v>228</v>
      </c>
      <c r="C231" s="8">
        <v>20</v>
      </c>
      <c r="D231" s="9">
        <v>44708</v>
      </c>
      <c r="E231" s="134">
        <v>103</v>
      </c>
      <c r="F231" s="134">
        <f t="shared" si="0"/>
        <v>2060</v>
      </c>
      <c r="G231" s="134">
        <v>0.1</v>
      </c>
      <c r="H231" s="134">
        <v>0.51</v>
      </c>
      <c r="I231" s="134"/>
      <c r="J231" s="138">
        <f t="shared" si="1"/>
        <v>2060.61</v>
      </c>
      <c r="K231" s="7"/>
      <c r="L231" s="45"/>
      <c r="M231" s="45"/>
      <c r="N231" s="137"/>
      <c r="O231" s="137"/>
    </row>
    <row r="232" customHeight="1" spans="1:15">
      <c r="A232" s="3" t="s">
        <v>21</v>
      </c>
      <c r="B232" s="3" t="s">
        <v>228</v>
      </c>
      <c r="C232" s="4">
        <v>20</v>
      </c>
      <c r="D232" s="5">
        <v>44707</v>
      </c>
      <c r="E232" s="132">
        <v>126.5</v>
      </c>
      <c r="F232" s="132">
        <f t="shared" si="0"/>
        <v>2530</v>
      </c>
      <c r="G232" s="132">
        <v>0.12</v>
      </c>
      <c r="H232" s="132">
        <v>0.63</v>
      </c>
      <c r="I232" s="132"/>
      <c r="J232" s="67">
        <f t="shared" si="1"/>
        <v>2530.75</v>
      </c>
      <c r="K232" s="3"/>
      <c r="L232" s="45"/>
      <c r="M232" s="45"/>
      <c r="N232" s="137"/>
      <c r="O232" s="137"/>
    </row>
    <row r="233" customHeight="1" spans="1:15">
      <c r="A233" s="7" t="s">
        <v>25</v>
      </c>
      <c r="B233" s="7" t="s">
        <v>228</v>
      </c>
      <c r="C233" s="8">
        <v>10</v>
      </c>
      <c r="D233" s="9">
        <v>44700</v>
      </c>
      <c r="E233" s="134">
        <v>104.8</v>
      </c>
      <c r="F233" s="134">
        <f t="shared" si="0"/>
        <v>1048</v>
      </c>
      <c r="G233" s="134">
        <v>0.05</v>
      </c>
      <c r="H233" s="134">
        <v>0.26</v>
      </c>
      <c r="I233" s="134"/>
      <c r="J233" s="138">
        <f t="shared" si="1"/>
        <v>1048.31</v>
      </c>
      <c r="K233" s="7"/>
      <c r="L233" s="45"/>
      <c r="M233" s="45"/>
      <c r="N233" s="137"/>
      <c r="O233" s="137"/>
    </row>
    <row r="234" customHeight="1" spans="1:15">
      <c r="A234" s="3" t="s">
        <v>25</v>
      </c>
      <c r="B234" s="3" t="s">
        <v>228</v>
      </c>
      <c r="C234" s="4">
        <v>20</v>
      </c>
      <c r="D234" s="5">
        <v>44698</v>
      </c>
      <c r="E234" s="132">
        <v>104.8</v>
      </c>
      <c r="F234" s="132">
        <f t="shared" si="0"/>
        <v>2096</v>
      </c>
      <c r="G234" s="132">
        <v>0.1</v>
      </c>
      <c r="H234" s="132">
        <v>0.52</v>
      </c>
      <c r="I234" s="132"/>
      <c r="J234" s="67">
        <f t="shared" si="1"/>
        <v>2096.62</v>
      </c>
      <c r="K234" s="3"/>
      <c r="L234" s="45"/>
      <c r="M234" s="45"/>
      <c r="N234" s="137"/>
      <c r="O234" s="137"/>
    </row>
    <row r="235" customHeight="1" spans="1:15">
      <c r="A235" s="7" t="s">
        <v>22</v>
      </c>
      <c r="B235" s="7" t="s">
        <v>228</v>
      </c>
      <c r="C235" s="8">
        <v>20</v>
      </c>
      <c r="D235" s="9">
        <v>44697</v>
      </c>
      <c r="E235" s="134">
        <v>96</v>
      </c>
      <c r="F235" s="134">
        <f t="shared" si="0"/>
        <v>1920</v>
      </c>
      <c r="G235" s="134">
        <v>0.09</v>
      </c>
      <c r="H235" s="134">
        <v>0.48</v>
      </c>
      <c r="I235" s="134"/>
      <c r="J235" s="138">
        <f t="shared" si="1"/>
        <v>1920.57</v>
      </c>
      <c r="K235" s="7"/>
      <c r="L235" s="45"/>
      <c r="M235" s="45"/>
      <c r="N235" s="137"/>
      <c r="O235" s="137"/>
    </row>
    <row r="236" customHeight="1" spans="1:15">
      <c r="A236" s="3" t="s">
        <v>13</v>
      </c>
      <c r="B236" s="3" t="s">
        <v>228</v>
      </c>
      <c r="C236" s="4">
        <v>30</v>
      </c>
      <c r="D236" s="5">
        <v>44686</v>
      </c>
      <c r="E236" s="132">
        <v>97.5</v>
      </c>
      <c r="F236" s="132">
        <f t="shared" si="0"/>
        <v>2925</v>
      </c>
      <c r="G236" s="132">
        <v>0.14</v>
      </c>
      <c r="H236" s="132">
        <v>0.73</v>
      </c>
      <c r="I236" s="132"/>
      <c r="J236" s="67">
        <f t="shared" si="1"/>
        <v>2925.87</v>
      </c>
      <c r="K236" s="3"/>
      <c r="L236" s="45"/>
      <c r="M236" s="45"/>
      <c r="N236" s="137"/>
      <c r="O236" s="137"/>
    </row>
    <row r="237" customHeight="1" spans="1:15">
      <c r="A237" s="7" t="s">
        <v>13</v>
      </c>
      <c r="B237" s="7" t="s">
        <v>228</v>
      </c>
      <c r="C237" s="8">
        <v>65</v>
      </c>
      <c r="D237" s="9">
        <v>44680</v>
      </c>
      <c r="E237" s="134">
        <v>99.71</v>
      </c>
      <c r="F237" s="134">
        <f t="shared" si="0"/>
        <v>6481.15</v>
      </c>
      <c r="G237" s="134">
        <v>0.32</v>
      </c>
      <c r="H237" s="134">
        <v>1.62</v>
      </c>
      <c r="I237" s="134"/>
      <c r="J237" s="138">
        <f t="shared" si="1"/>
        <v>6483.09</v>
      </c>
      <c r="K237" s="7"/>
      <c r="L237" s="45"/>
      <c r="M237" s="45"/>
      <c r="N237" s="137"/>
      <c r="O237" s="137"/>
    </row>
    <row r="238" customHeight="1" spans="1:15">
      <c r="A238" s="3" t="s">
        <v>29</v>
      </c>
      <c r="B238" s="3" t="s">
        <v>228</v>
      </c>
      <c r="C238" s="4">
        <v>30</v>
      </c>
      <c r="D238" s="5">
        <v>44637</v>
      </c>
      <c r="E238" s="132">
        <v>95.13</v>
      </c>
      <c r="F238" s="132">
        <f t="shared" si="0"/>
        <v>2853.9</v>
      </c>
      <c r="G238" s="132">
        <v>0.14</v>
      </c>
      <c r="H238" s="132">
        <v>0.71</v>
      </c>
      <c r="I238" s="132"/>
      <c r="J238" s="67">
        <f t="shared" si="1"/>
        <v>2854.75</v>
      </c>
      <c r="K238" s="3"/>
      <c r="L238" s="45"/>
      <c r="M238" s="45"/>
      <c r="N238" s="137"/>
      <c r="O238" s="137"/>
    </row>
    <row r="239" customHeight="1" spans="1:15">
      <c r="A239" s="7" t="s">
        <v>13</v>
      </c>
      <c r="B239" s="7" t="s">
        <v>228</v>
      </c>
      <c r="C239" s="8">
        <v>30</v>
      </c>
      <c r="D239" s="9">
        <v>44629</v>
      </c>
      <c r="E239" s="134">
        <v>97.5</v>
      </c>
      <c r="F239" s="134">
        <f t="shared" si="0"/>
        <v>2925</v>
      </c>
      <c r="G239" s="134">
        <v>0.15</v>
      </c>
      <c r="H239" s="134">
        <v>0.73</v>
      </c>
      <c r="I239" s="134"/>
      <c r="J239" s="138">
        <f t="shared" si="1"/>
        <v>2925.88</v>
      </c>
      <c r="K239" s="7"/>
      <c r="L239" s="45"/>
      <c r="M239" s="45"/>
      <c r="N239" s="137"/>
      <c r="O239" s="137"/>
    </row>
    <row r="240" customHeight="1" spans="1:15">
      <c r="A240" s="3" t="s">
        <v>13</v>
      </c>
      <c r="B240" s="3" t="s">
        <v>228</v>
      </c>
      <c r="C240" s="4">
        <v>30</v>
      </c>
      <c r="D240" s="5">
        <v>44616</v>
      </c>
      <c r="E240" s="132">
        <v>98</v>
      </c>
      <c r="F240" s="132">
        <f t="shared" si="0"/>
        <v>2940</v>
      </c>
      <c r="G240" s="132">
        <v>0.15</v>
      </c>
      <c r="H240" s="132">
        <v>0.74</v>
      </c>
      <c r="I240" s="132"/>
      <c r="J240" s="67">
        <f t="shared" si="1"/>
        <v>2940.89</v>
      </c>
      <c r="K240" s="3"/>
      <c r="L240" s="45"/>
      <c r="M240" s="45"/>
      <c r="N240" s="137"/>
      <c r="O240" s="137"/>
    </row>
    <row r="241" customHeight="1" spans="1:15">
      <c r="A241" s="7" t="s">
        <v>33</v>
      </c>
      <c r="B241" s="7" t="s">
        <v>228</v>
      </c>
      <c r="C241" s="8">
        <v>20</v>
      </c>
      <c r="D241" s="9">
        <v>44615</v>
      </c>
      <c r="E241" s="134">
        <v>100.56</v>
      </c>
      <c r="F241" s="134">
        <f t="shared" si="0"/>
        <v>2011.2</v>
      </c>
      <c r="G241" s="134">
        <v>0.1</v>
      </c>
      <c r="H241" s="134">
        <v>0.5</v>
      </c>
      <c r="I241" s="134"/>
      <c r="J241" s="138">
        <f t="shared" si="1"/>
        <v>2011.8</v>
      </c>
      <c r="K241" s="7"/>
      <c r="L241" s="45"/>
      <c r="M241" s="45"/>
      <c r="N241" s="137"/>
      <c r="O241" s="137"/>
    </row>
    <row r="242" customHeight="1" spans="1:15">
      <c r="A242" s="3" t="s">
        <v>29</v>
      </c>
      <c r="B242" s="3" t="s">
        <v>228</v>
      </c>
      <c r="C242" s="4">
        <v>20</v>
      </c>
      <c r="D242" s="5">
        <v>44592</v>
      </c>
      <c r="E242" s="132">
        <v>98</v>
      </c>
      <c r="F242" s="132">
        <f t="shared" si="0"/>
        <v>1960</v>
      </c>
      <c r="G242" s="132">
        <v>0.06</v>
      </c>
      <c r="H242" s="132">
        <v>0.3</v>
      </c>
      <c r="I242" s="132"/>
      <c r="J242" s="67">
        <f t="shared" si="1"/>
        <v>1960.36</v>
      </c>
      <c r="K242" s="3"/>
      <c r="L242" s="45"/>
      <c r="M242" s="45"/>
      <c r="N242" s="137"/>
      <c r="O242" s="137"/>
    </row>
    <row r="243" customHeight="1" spans="1:15">
      <c r="A243" s="7" t="s">
        <v>33</v>
      </c>
      <c r="B243" s="7" t="s">
        <v>228</v>
      </c>
      <c r="C243" s="8">
        <v>30</v>
      </c>
      <c r="D243" s="9">
        <v>44592</v>
      </c>
      <c r="E243" s="134">
        <v>99.96</v>
      </c>
      <c r="F243" s="134">
        <f t="shared" si="0"/>
        <v>2998.8</v>
      </c>
      <c r="G243" s="134">
        <v>0.09</v>
      </c>
      <c r="H243" s="134">
        <v>0.45</v>
      </c>
      <c r="I243" s="134"/>
      <c r="J243" s="138">
        <f t="shared" si="1"/>
        <v>2999.34</v>
      </c>
      <c r="K243" s="7"/>
      <c r="L243" s="45"/>
      <c r="M243" s="45"/>
      <c r="N243" s="137"/>
      <c r="O243" s="137"/>
    </row>
    <row r="244" customHeight="1" spans="1:15">
      <c r="A244" s="3" t="s">
        <v>26</v>
      </c>
      <c r="B244" s="3" t="s">
        <v>228</v>
      </c>
      <c r="C244" s="4">
        <f>17*9</f>
        <v>153</v>
      </c>
      <c r="D244" s="5">
        <v>44552</v>
      </c>
      <c r="E244" s="132">
        <f>91/9</f>
        <v>10.1111111111111</v>
      </c>
      <c r="F244" s="132">
        <f t="shared" si="0"/>
        <v>1547</v>
      </c>
      <c r="G244" s="132">
        <v>0.07</v>
      </c>
      <c r="H244" s="132">
        <v>0.38</v>
      </c>
      <c r="I244" s="132"/>
      <c r="J244" s="67">
        <f t="shared" si="1"/>
        <v>1547.45</v>
      </c>
      <c r="K244" s="3"/>
      <c r="L244" s="45"/>
      <c r="M244" s="45"/>
      <c r="N244" s="137"/>
      <c r="O244" s="137"/>
    </row>
    <row r="245" customHeight="1" spans="1:15">
      <c r="A245" s="7" t="s">
        <v>18</v>
      </c>
      <c r="B245" s="7" t="s">
        <v>228</v>
      </c>
      <c r="C245" s="8">
        <v>30</v>
      </c>
      <c r="D245" s="9">
        <v>44551</v>
      </c>
      <c r="E245" s="134">
        <v>112.9</v>
      </c>
      <c r="F245" s="134">
        <f t="shared" si="0"/>
        <v>3387</v>
      </c>
      <c r="G245" s="134">
        <v>0.16</v>
      </c>
      <c r="H245" s="134">
        <v>0.84</v>
      </c>
      <c r="I245" s="134"/>
      <c r="J245" s="138">
        <f t="shared" si="1"/>
        <v>3388</v>
      </c>
      <c r="K245" s="7"/>
      <c r="L245" s="45"/>
      <c r="M245" s="45"/>
      <c r="N245" s="137"/>
      <c r="O245" s="137"/>
    </row>
    <row r="246" customHeight="1" spans="1:15">
      <c r="A246" s="3" t="s">
        <v>18</v>
      </c>
      <c r="B246" s="3" t="s">
        <v>228</v>
      </c>
      <c r="C246" s="4">
        <v>30</v>
      </c>
      <c r="D246" s="5">
        <v>44531</v>
      </c>
      <c r="E246" s="132">
        <v>111.81</v>
      </c>
      <c r="F246" s="132">
        <f t="shared" si="0"/>
        <v>3354.3</v>
      </c>
      <c r="G246" s="132">
        <v>0.16</v>
      </c>
      <c r="H246" s="132">
        <v>0.83</v>
      </c>
      <c r="I246" s="132"/>
      <c r="J246" s="67">
        <f t="shared" si="1"/>
        <v>3355.29</v>
      </c>
      <c r="K246" s="3"/>
      <c r="L246" s="45"/>
      <c r="M246" s="45"/>
      <c r="N246" s="137"/>
      <c r="O246" s="137"/>
    </row>
    <row r="247" customHeight="1" spans="1:15">
      <c r="A247" s="7" t="s">
        <v>13</v>
      </c>
      <c r="B247" s="7" t="s">
        <v>228</v>
      </c>
      <c r="C247" s="8">
        <v>50</v>
      </c>
      <c r="D247" s="9">
        <v>44529</v>
      </c>
      <c r="E247" s="134">
        <v>85.8</v>
      </c>
      <c r="F247" s="134">
        <f t="shared" si="0"/>
        <v>4290</v>
      </c>
      <c r="G247" s="134">
        <v>0.21</v>
      </c>
      <c r="H247" s="134">
        <v>1.07</v>
      </c>
      <c r="I247" s="134"/>
      <c r="J247" s="138">
        <f t="shared" si="1"/>
        <v>4291.28</v>
      </c>
      <c r="K247" s="7"/>
      <c r="L247" s="45"/>
      <c r="M247" s="45"/>
      <c r="N247" s="137"/>
      <c r="O247" s="137"/>
    </row>
    <row r="248" customHeight="1" spans="1:15">
      <c r="A248" s="3" t="s">
        <v>18</v>
      </c>
      <c r="B248" s="3" t="s">
        <v>228</v>
      </c>
      <c r="C248" s="4">
        <v>20</v>
      </c>
      <c r="D248" s="5">
        <v>44517</v>
      </c>
      <c r="E248" s="132">
        <v>113.8</v>
      </c>
      <c r="F248" s="132">
        <f t="shared" si="0"/>
        <v>2276</v>
      </c>
      <c r="G248" s="132">
        <v>0.15</v>
      </c>
      <c r="H248" s="132">
        <v>0.56</v>
      </c>
      <c r="I248" s="132"/>
      <c r="J248" s="67">
        <f t="shared" si="1"/>
        <v>2276.71</v>
      </c>
      <c r="K248" s="3"/>
      <c r="L248" s="45"/>
      <c r="M248" s="45"/>
      <c r="N248" s="137"/>
      <c r="O248" s="137"/>
    </row>
    <row r="249" customHeight="1" spans="1:15">
      <c r="A249" s="7" t="s">
        <v>21</v>
      </c>
      <c r="B249" s="7" t="s">
        <v>228</v>
      </c>
      <c r="C249" s="8">
        <v>20</v>
      </c>
      <c r="D249" s="9">
        <v>44516</v>
      </c>
      <c r="E249" s="134">
        <v>117.3</v>
      </c>
      <c r="F249" s="134">
        <f t="shared" si="0"/>
        <v>2346</v>
      </c>
      <c r="G249" s="134">
        <v>0.11</v>
      </c>
      <c r="H249" s="134">
        <v>0.58</v>
      </c>
      <c r="I249" s="134"/>
      <c r="J249" s="138">
        <f t="shared" si="1"/>
        <v>2346.69</v>
      </c>
      <c r="K249" s="7"/>
      <c r="L249" s="45"/>
      <c r="M249" s="45"/>
      <c r="N249" s="137"/>
      <c r="O249" s="137"/>
    </row>
    <row r="250" customHeight="1" spans="1:15">
      <c r="A250" s="3" t="s">
        <v>15</v>
      </c>
      <c r="B250" s="3" t="s">
        <v>228</v>
      </c>
      <c r="C250" s="4">
        <v>20</v>
      </c>
      <c r="D250" s="5">
        <v>44516</v>
      </c>
      <c r="E250" s="132">
        <v>159.55</v>
      </c>
      <c r="F250" s="132">
        <f t="shared" si="0"/>
        <v>3191</v>
      </c>
      <c r="G250" s="132">
        <v>0.16</v>
      </c>
      <c r="H250" s="132">
        <v>0.8</v>
      </c>
      <c r="I250" s="132"/>
      <c r="J250" s="67">
        <f t="shared" si="1"/>
        <v>3191.96</v>
      </c>
      <c r="K250" s="3"/>
      <c r="L250" s="45"/>
      <c r="M250" s="45"/>
      <c r="N250" s="137"/>
      <c r="O250" s="137"/>
    </row>
    <row r="251" customHeight="1" spans="1:15">
      <c r="A251" s="7" t="s">
        <v>22</v>
      </c>
      <c r="B251" s="7" t="s">
        <v>228</v>
      </c>
      <c r="C251" s="8">
        <v>30</v>
      </c>
      <c r="D251" s="9">
        <v>44498</v>
      </c>
      <c r="E251" s="134">
        <v>113.85</v>
      </c>
      <c r="F251" s="134">
        <f t="shared" si="0"/>
        <v>3415.5</v>
      </c>
      <c r="G251" s="134">
        <v>0.14</v>
      </c>
      <c r="H251" s="134">
        <v>0.85</v>
      </c>
      <c r="I251" s="134"/>
      <c r="J251" s="138">
        <f t="shared" si="1"/>
        <v>3416.49</v>
      </c>
      <c r="K251" s="7"/>
      <c r="L251" s="45"/>
      <c r="M251" s="45"/>
      <c r="N251" s="137"/>
      <c r="O251" s="137"/>
    </row>
    <row r="252" customHeight="1" spans="1:15">
      <c r="A252" s="3" t="s">
        <v>23</v>
      </c>
      <c r="B252" s="3" t="s">
        <v>228</v>
      </c>
      <c r="C252" s="4">
        <v>30</v>
      </c>
      <c r="D252" s="5">
        <v>44498</v>
      </c>
      <c r="E252" s="132">
        <v>101.5</v>
      </c>
      <c r="F252" s="132">
        <f t="shared" si="0"/>
        <v>3045</v>
      </c>
      <c r="G252" s="132">
        <v>0.15</v>
      </c>
      <c r="H252" s="132">
        <v>0.76</v>
      </c>
      <c r="I252" s="132"/>
      <c r="J252" s="67">
        <f t="shared" si="1"/>
        <v>3045.91</v>
      </c>
      <c r="K252" s="3"/>
      <c r="L252" s="45"/>
      <c r="M252" s="45"/>
      <c r="N252" s="137"/>
      <c r="O252" s="137"/>
    </row>
    <row r="253" customHeight="1" spans="1:15">
      <c r="A253" s="7" t="s">
        <v>27</v>
      </c>
      <c r="B253" s="7" t="s">
        <v>228</v>
      </c>
      <c r="C253" s="8">
        <v>30</v>
      </c>
      <c r="D253" s="9">
        <v>44497</v>
      </c>
      <c r="E253" s="134">
        <v>96.15</v>
      </c>
      <c r="F253" s="134">
        <f t="shared" si="0"/>
        <v>2884.5</v>
      </c>
      <c r="G253" s="134">
        <v>0.14</v>
      </c>
      <c r="H253" s="134">
        <v>0.72</v>
      </c>
      <c r="I253" s="134"/>
      <c r="J253" s="138">
        <f t="shared" si="1"/>
        <v>2885.36</v>
      </c>
      <c r="K253" s="7"/>
      <c r="L253" s="45"/>
      <c r="M253" s="45"/>
      <c r="N253" s="137"/>
      <c r="O253" s="137"/>
    </row>
    <row r="254" customHeight="1" spans="1:15">
      <c r="A254" s="3" t="s">
        <v>27</v>
      </c>
      <c r="B254" s="3" t="s">
        <v>228</v>
      </c>
      <c r="C254" s="4">
        <v>30</v>
      </c>
      <c r="D254" s="5">
        <v>44497</v>
      </c>
      <c r="E254" s="132">
        <v>96.2</v>
      </c>
      <c r="F254" s="132">
        <f t="shared" si="0"/>
        <v>2886</v>
      </c>
      <c r="G254" s="132">
        <v>0.14</v>
      </c>
      <c r="H254" s="132">
        <v>0.72</v>
      </c>
      <c r="I254" s="132"/>
      <c r="J254" s="67">
        <f t="shared" si="1"/>
        <v>2886.86</v>
      </c>
      <c r="K254" s="3"/>
      <c r="L254" s="45"/>
      <c r="M254" s="45"/>
      <c r="N254" s="137"/>
      <c r="O254" s="137"/>
    </row>
    <row r="255" customHeight="1" spans="1:15">
      <c r="A255" s="7" t="s">
        <v>15</v>
      </c>
      <c r="B255" s="7" t="s">
        <v>228</v>
      </c>
      <c r="C255" s="8">
        <v>25</v>
      </c>
      <c r="D255" s="9">
        <v>44497</v>
      </c>
      <c r="E255" s="134">
        <v>164.5</v>
      </c>
      <c r="F255" s="134">
        <f t="shared" si="0"/>
        <v>4112.5</v>
      </c>
      <c r="G255" s="134">
        <v>0.21</v>
      </c>
      <c r="H255" s="134">
        <v>1.03</v>
      </c>
      <c r="I255" s="134"/>
      <c r="J255" s="138">
        <f t="shared" si="1"/>
        <v>4113.74</v>
      </c>
      <c r="K255" s="7"/>
      <c r="L255" s="45"/>
      <c r="M255" s="45"/>
      <c r="N255" s="137"/>
      <c r="O255" s="137"/>
    </row>
    <row r="256" customHeight="1" spans="1:15">
      <c r="A256" s="3" t="s">
        <v>15</v>
      </c>
      <c r="B256" s="3" t="s">
        <v>228</v>
      </c>
      <c r="C256" s="4">
        <v>30</v>
      </c>
      <c r="D256" s="5">
        <v>44497</v>
      </c>
      <c r="E256" s="132">
        <v>165</v>
      </c>
      <c r="F256" s="132">
        <f t="shared" si="0"/>
        <v>4950</v>
      </c>
      <c r="G256" s="132">
        <v>0.25</v>
      </c>
      <c r="H256" s="132">
        <v>1.23</v>
      </c>
      <c r="I256" s="132"/>
      <c r="J256" s="67">
        <f t="shared" si="1"/>
        <v>4951.48</v>
      </c>
      <c r="K256" s="3"/>
      <c r="L256" s="45"/>
      <c r="M256" s="45"/>
      <c r="N256" s="137"/>
      <c r="O256" s="137"/>
    </row>
    <row r="257" customHeight="1" spans="1:15">
      <c r="A257" s="7" t="s">
        <v>13</v>
      </c>
      <c r="B257" s="7" t="s">
        <v>228</v>
      </c>
      <c r="C257" s="8">
        <v>30</v>
      </c>
      <c r="D257" s="9">
        <v>44495</v>
      </c>
      <c r="E257" s="134">
        <v>97.5</v>
      </c>
      <c r="F257" s="134">
        <f t="shared" si="0"/>
        <v>2925</v>
      </c>
      <c r="G257" s="134">
        <v>0.14</v>
      </c>
      <c r="H257" s="134">
        <v>0.73</v>
      </c>
      <c r="I257" s="134"/>
      <c r="J257" s="138">
        <f t="shared" si="1"/>
        <v>2925.87</v>
      </c>
      <c r="K257" s="7"/>
      <c r="L257" s="45"/>
      <c r="M257" s="45"/>
      <c r="N257" s="137"/>
      <c r="O257" s="137"/>
    </row>
    <row r="258" customHeight="1" spans="1:15">
      <c r="A258" s="3" t="s">
        <v>27</v>
      </c>
      <c r="B258" s="3" t="s">
        <v>228</v>
      </c>
      <c r="C258" s="4">
        <v>30</v>
      </c>
      <c r="D258" s="5">
        <v>44495</v>
      </c>
      <c r="E258" s="132">
        <v>96.5</v>
      </c>
      <c r="F258" s="132">
        <f t="shared" si="0"/>
        <v>2895</v>
      </c>
      <c r="G258" s="132">
        <v>0.14</v>
      </c>
      <c r="H258" s="132">
        <v>0.72</v>
      </c>
      <c r="I258" s="132"/>
      <c r="J258" s="67">
        <f t="shared" si="1"/>
        <v>2895.86</v>
      </c>
      <c r="K258" s="3"/>
      <c r="L258" s="45"/>
      <c r="M258" s="45"/>
      <c r="N258" s="137"/>
      <c r="O258" s="137"/>
    </row>
    <row r="259" customHeight="1" spans="1:15">
      <c r="A259" s="7" t="s">
        <v>27</v>
      </c>
      <c r="B259" s="7" t="s">
        <v>228</v>
      </c>
      <c r="C259" s="8">
        <v>40</v>
      </c>
      <c r="D259" s="9">
        <v>44495</v>
      </c>
      <c r="E259" s="134">
        <v>97</v>
      </c>
      <c r="F259" s="134">
        <f t="shared" si="0"/>
        <v>3880</v>
      </c>
      <c r="G259" s="134">
        <v>0.19</v>
      </c>
      <c r="H259" s="134">
        <v>0.97</v>
      </c>
      <c r="I259" s="134"/>
      <c r="J259" s="138">
        <f t="shared" si="1"/>
        <v>3881.16</v>
      </c>
      <c r="K259" s="7"/>
      <c r="L259" s="45"/>
      <c r="M259" s="45"/>
      <c r="N259" s="137"/>
      <c r="O259" s="137"/>
    </row>
    <row r="260" customHeight="1" spans="1:15">
      <c r="A260" s="3" t="s">
        <v>13</v>
      </c>
      <c r="B260" s="3" t="s">
        <v>228</v>
      </c>
      <c r="C260" s="4">
        <v>30</v>
      </c>
      <c r="D260" s="5">
        <v>44490</v>
      </c>
      <c r="E260" s="132">
        <v>100</v>
      </c>
      <c r="F260" s="132">
        <f t="shared" si="0"/>
        <v>3000</v>
      </c>
      <c r="G260" s="132">
        <v>0.15</v>
      </c>
      <c r="H260" s="132">
        <v>0.75</v>
      </c>
      <c r="I260" s="132"/>
      <c r="J260" s="67">
        <f t="shared" si="1"/>
        <v>3000.9</v>
      </c>
      <c r="K260" s="3"/>
      <c r="L260" s="45"/>
      <c r="M260" s="45"/>
      <c r="N260" s="137"/>
      <c r="O260" s="137"/>
    </row>
    <row r="261" customHeight="1" spans="1:15">
      <c r="A261" s="7" t="s">
        <v>21</v>
      </c>
      <c r="B261" s="7" t="s">
        <v>228</v>
      </c>
      <c r="C261" s="8">
        <v>30</v>
      </c>
      <c r="D261" s="9">
        <v>44489</v>
      </c>
      <c r="E261" s="134">
        <v>129</v>
      </c>
      <c r="F261" s="134">
        <f t="shared" si="0"/>
        <v>3870</v>
      </c>
      <c r="G261" s="134">
        <v>0.19</v>
      </c>
      <c r="H261" s="134">
        <v>0.96</v>
      </c>
      <c r="I261" s="134"/>
      <c r="J261" s="138">
        <f t="shared" si="1"/>
        <v>3871.15</v>
      </c>
      <c r="K261" s="7"/>
      <c r="L261" s="45"/>
      <c r="M261" s="45"/>
      <c r="N261" s="137"/>
      <c r="O261" s="137"/>
    </row>
    <row r="262" customHeight="1" spans="1:15">
      <c r="A262" s="3" t="s">
        <v>21</v>
      </c>
      <c r="B262" s="3" t="s">
        <v>228</v>
      </c>
      <c r="C262" s="4">
        <v>30</v>
      </c>
      <c r="D262" s="5">
        <v>44489</v>
      </c>
      <c r="E262" s="132">
        <v>129.48</v>
      </c>
      <c r="F262" s="132">
        <f t="shared" si="0"/>
        <v>3884.4</v>
      </c>
      <c r="G262" s="132">
        <v>0.19</v>
      </c>
      <c r="H262" s="132">
        <v>0.96</v>
      </c>
      <c r="I262" s="132"/>
      <c r="J262" s="67">
        <f t="shared" si="1"/>
        <v>3885.55</v>
      </c>
      <c r="K262" s="3"/>
      <c r="L262" s="45"/>
      <c r="M262" s="45"/>
      <c r="N262" s="137"/>
      <c r="O262" s="137"/>
    </row>
    <row r="263" customHeight="1" spans="1:15">
      <c r="A263" s="7" t="s">
        <v>21</v>
      </c>
      <c r="B263" s="7" t="s">
        <v>228</v>
      </c>
      <c r="C263" s="8">
        <v>30</v>
      </c>
      <c r="D263" s="9">
        <v>44473</v>
      </c>
      <c r="E263" s="134">
        <v>129</v>
      </c>
      <c r="F263" s="134">
        <f t="shared" si="0"/>
        <v>3870</v>
      </c>
      <c r="G263" s="134">
        <v>0.19</v>
      </c>
      <c r="H263" s="134">
        <v>0.96</v>
      </c>
      <c r="I263" s="134"/>
      <c r="J263" s="138">
        <f t="shared" si="1"/>
        <v>3871.15</v>
      </c>
      <c r="K263" s="7"/>
      <c r="L263" s="45"/>
      <c r="M263" s="45"/>
      <c r="N263" s="137"/>
      <c r="O263" s="137"/>
    </row>
    <row r="264" customHeight="1" spans="1:15">
      <c r="A264" s="3" t="s">
        <v>13</v>
      </c>
      <c r="B264" s="3" t="s">
        <v>228</v>
      </c>
      <c r="C264" s="4">
        <v>20</v>
      </c>
      <c r="D264" s="5">
        <v>44470</v>
      </c>
      <c r="E264" s="132">
        <v>100.5</v>
      </c>
      <c r="F264" s="132">
        <f t="shared" si="0"/>
        <v>2010</v>
      </c>
      <c r="G264" s="132">
        <v>0.1</v>
      </c>
      <c r="H264" s="132">
        <v>0.5</v>
      </c>
      <c r="I264" s="132"/>
      <c r="J264" s="67">
        <f t="shared" si="1"/>
        <v>2010.6</v>
      </c>
      <c r="K264" s="3"/>
      <c r="L264" s="45"/>
      <c r="M264" s="45"/>
      <c r="N264" s="137"/>
      <c r="O264" s="137"/>
    </row>
    <row r="265" customHeight="1" spans="1:15">
      <c r="A265" s="7" t="s">
        <v>15</v>
      </c>
      <c r="B265" s="7" t="s">
        <v>228</v>
      </c>
      <c r="C265" s="8">
        <v>11</v>
      </c>
      <c r="D265" s="9">
        <v>44459</v>
      </c>
      <c r="E265" s="134">
        <v>161.35</v>
      </c>
      <c r="F265" s="134">
        <f t="shared" si="0"/>
        <v>1774.85</v>
      </c>
      <c r="G265" s="134">
        <v>0.08</v>
      </c>
      <c r="H265" s="134">
        <v>0.44</v>
      </c>
      <c r="I265" s="134"/>
      <c r="J265" s="138">
        <f t="shared" si="1"/>
        <v>1775.37</v>
      </c>
      <c r="K265" s="7"/>
      <c r="L265" s="45"/>
      <c r="M265" s="45"/>
      <c r="N265" s="137"/>
      <c r="O265" s="137"/>
    </row>
    <row r="266" customHeight="1" spans="1:15">
      <c r="A266" s="3" t="s">
        <v>15</v>
      </c>
      <c r="B266" s="3" t="s">
        <v>228</v>
      </c>
      <c r="C266" s="4">
        <v>15</v>
      </c>
      <c r="D266" s="5">
        <v>44455</v>
      </c>
      <c r="E266" s="132">
        <v>162.65</v>
      </c>
      <c r="F266" s="132">
        <f t="shared" si="0"/>
        <v>2439.75</v>
      </c>
      <c r="G266" s="132">
        <v>0.12</v>
      </c>
      <c r="H266" s="132">
        <v>0.6</v>
      </c>
      <c r="I266" s="132"/>
      <c r="J266" s="67">
        <f t="shared" si="1"/>
        <v>2440.47</v>
      </c>
      <c r="K266" s="3"/>
      <c r="L266" s="45"/>
      <c r="M266" s="45"/>
      <c r="N266" s="137"/>
      <c r="O266" s="137"/>
    </row>
    <row r="267" customHeight="1" spans="1:15">
      <c r="A267" s="7" t="s">
        <v>26</v>
      </c>
      <c r="B267" s="7" t="s">
        <v>228</v>
      </c>
      <c r="C267" s="8">
        <f>43*9</f>
        <v>387</v>
      </c>
      <c r="D267" s="9">
        <v>44437</v>
      </c>
      <c r="E267" s="134">
        <f>91/9</f>
        <v>10.1111111111111</v>
      </c>
      <c r="F267" s="134">
        <f t="shared" si="0"/>
        <v>3913</v>
      </c>
      <c r="G267" s="134">
        <v>0.19</v>
      </c>
      <c r="H267" s="134">
        <v>0.97</v>
      </c>
      <c r="I267" s="134"/>
      <c r="J267" s="138">
        <f t="shared" si="1"/>
        <v>3914.16</v>
      </c>
      <c r="K267" s="7"/>
      <c r="L267" s="45"/>
      <c r="M267" s="45"/>
      <c r="N267" s="137"/>
      <c r="O267" s="137"/>
    </row>
    <row r="268" customHeight="1" spans="1:15">
      <c r="A268" s="3" t="s">
        <v>22</v>
      </c>
      <c r="B268" s="3" t="s">
        <v>228</v>
      </c>
      <c r="C268" s="4">
        <v>50</v>
      </c>
      <c r="D268" s="5">
        <v>44432</v>
      </c>
      <c r="E268" s="132">
        <v>112.3</v>
      </c>
      <c r="F268" s="132">
        <f t="shared" si="0"/>
        <v>5615</v>
      </c>
      <c r="G268" s="132">
        <v>0.28</v>
      </c>
      <c r="H268" s="132">
        <v>1.4</v>
      </c>
      <c r="I268" s="132"/>
      <c r="J268" s="67">
        <f t="shared" si="1"/>
        <v>5616.68</v>
      </c>
      <c r="K268" s="3"/>
      <c r="L268" s="45"/>
      <c r="M268" s="45"/>
      <c r="N268" s="137"/>
      <c r="O268" s="137"/>
    </row>
    <row r="269" customHeight="1" spans="1:15">
      <c r="A269" s="7" t="s">
        <v>13</v>
      </c>
      <c r="B269" s="7" t="s">
        <v>228</v>
      </c>
      <c r="C269" s="8">
        <v>30</v>
      </c>
      <c r="D269" s="9">
        <v>44424</v>
      </c>
      <c r="E269" s="134">
        <v>100.5</v>
      </c>
      <c r="F269" s="134">
        <f t="shared" si="0"/>
        <v>3015</v>
      </c>
      <c r="G269" s="134">
        <v>0.15</v>
      </c>
      <c r="H269" s="134">
        <v>0.75</v>
      </c>
      <c r="I269" s="134"/>
      <c r="J269" s="138">
        <f t="shared" si="1"/>
        <v>3015.9</v>
      </c>
      <c r="K269" s="7"/>
      <c r="L269" s="45"/>
      <c r="M269" s="45"/>
      <c r="N269" s="137"/>
      <c r="O269" s="137"/>
    </row>
    <row r="270" customHeight="1" spans="1:15">
      <c r="A270" s="3" t="s">
        <v>13</v>
      </c>
      <c r="B270" s="3" t="s">
        <v>228</v>
      </c>
      <c r="C270" s="4">
        <v>30</v>
      </c>
      <c r="D270" s="5">
        <v>44385</v>
      </c>
      <c r="E270" s="132">
        <v>103.53</v>
      </c>
      <c r="F270" s="132">
        <f t="shared" si="0"/>
        <v>3105.9</v>
      </c>
      <c r="G270" s="132">
        <v>0.15</v>
      </c>
      <c r="H270" s="132">
        <v>0.77</v>
      </c>
      <c r="I270" s="132"/>
      <c r="J270" s="67">
        <f t="shared" si="1"/>
        <v>3106.82</v>
      </c>
      <c r="K270" s="3"/>
      <c r="L270" s="45"/>
      <c r="M270" s="45"/>
      <c r="N270" s="137"/>
      <c r="O270" s="137"/>
    </row>
    <row r="271" customHeight="1" spans="1:15">
      <c r="A271" s="7" t="s">
        <v>13</v>
      </c>
      <c r="B271" s="7" t="s">
        <v>228</v>
      </c>
      <c r="C271" s="8">
        <v>35</v>
      </c>
      <c r="D271" s="9">
        <v>44369</v>
      </c>
      <c r="E271" s="134">
        <v>109</v>
      </c>
      <c r="F271" s="134">
        <f t="shared" si="0"/>
        <v>3815</v>
      </c>
      <c r="G271" s="134">
        <v>0.19</v>
      </c>
      <c r="H271" s="134">
        <v>0.95</v>
      </c>
      <c r="I271" s="134"/>
      <c r="J271" s="138">
        <f t="shared" si="1"/>
        <v>3816.14</v>
      </c>
      <c r="K271" s="7"/>
      <c r="L271" s="45"/>
      <c r="M271" s="45"/>
      <c r="N271" s="137"/>
      <c r="O271" s="137"/>
    </row>
    <row r="272" customHeight="1" spans="1:15">
      <c r="A272" s="3" t="s">
        <v>39</v>
      </c>
      <c r="B272" s="3" t="s">
        <v>228</v>
      </c>
      <c r="C272" s="4">
        <v>128</v>
      </c>
      <c r="D272" s="5">
        <v>44336</v>
      </c>
      <c r="E272" s="132">
        <v>118.32</v>
      </c>
      <c r="F272" s="132">
        <f t="shared" si="0"/>
        <v>15144.96</v>
      </c>
      <c r="G272" s="132">
        <v>0</v>
      </c>
      <c r="H272" s="132">
        <v>0</v>
      </c>
      <c r="I272" s="132"/>
      <c r="J272" s="67">
        <f t="shared" si="1"/>
        <v>15144.96</v>
      </c>
      <c r="K272" s="3" t="s">
        <v>230</v>
      </c>
      <c r="L272" s="45"/>
      <c r="M272" s="45"/>
      <c r="N272" s="137"/>
      <c r="O272" s="137"/>
    </row>
    <row r="273" customHeight="1" spans="1:15">
      <c r="A273" s="7" t="s">
        <v>16</v>
      </c>
      <c r="B273" s="7" t="s">
        <v>229</v>
      </c>
      <c r="C273" s="8">
        <v>-50</v>
      </c>
      <c r="D273" s="9">
        <v>44331</v>
      </c>
      <c r="E273" s="134">
        <v>134.02</v>
      </c>
      <c r="F273" s="134">
        <f t="shared" si="0"/>
        <v>-6701</v>
      </c>
      <c r="G273" s="134">
        <v>0.36</v>
      </c>
      <c r="H273" s="134">
        <v>1.67</v>
      </c>
      <c r="I273" s="134"/>
      <c r="J273" s="138">
        <f t="shared" si="1"/>
        <v>-6698.97</v>
      </c>
      <c r="K273" s="7"/>
      <c r="L273" s="45"/>
      <c r="M273" s="45"/>
      <c r="N273" s="137"/>
      <c r="O273" s="137"/>
    </row>
    <row r="274" customHeight="1" spans="1:15">
      <c r="A274" s="3" t="s">
        <v>39</v>
      </c>
      <c r="B274" s="3" t="s">
        <v>229</v>
      </c>
      <c r="C274" s="4">
        <v>-30</v>
      </c>
      <c r="D274" s="5">
        <v>44331</v>
      </c>
      <c r="E274" s="132">
        <v>135.65</v>
      </c>
      <c r="F274" s="132">
        <f t="shared" si="0"/>
        <v>-4069.5</v>
      </c>
      <c r="G274" s="132">
        <v>0.2</v>
      </c>
      <c r="H274" s="132">
        <v>1.01</v>
      </c>
      <c r="I274" s="132"/>
      <c r="J274" s="67">
        <f t="shared" si="1"/>
        <v>-4068.29</v>
      </c>
      <c r="K274" s="3"/>
      <c r="L274" s="45"/>
      <c r="M274" s="45"/>
      <c r="N274" s="137"/>
      <c r="O274" s="137"/>
    </row>
    <row r="275" customHeight="1" spans="1:15">
      <c r="A275" s="7" t="s">
        <v>13</v>
      </c>
      <c r="B275" s="7" t="s">
        <v>228</v>
      </c>
      <c r="C275" s="8">
        <v>13</v>
      </c>
      <c r="D275" s="9">
        <v>44308</v>
      </c>
      <c r="E275" s="134">
        <v>107.1</v>
      </c>
      <c r="F275" s="134">
        <f t="shared" si="0"/>
        <v>1392.3</v>
      </c>
      <c r="G275" s="134">
        <v>0.06</v>
      </c>
      <c r="H275" s="134">
        <v>0.34</v>
      </c>
      <c r="I275" s="134"/>
      <c r="J275" s="138">
        <f t="shared" si="1"/>
        <v>1392.7</v>
      </c>
      <c r="K275" s="7"/>
      <c r="L275" s="45"/>
      <c r="M275" s="45"/>
      <c r="N275" s="137"/>
      <c r="O275" s="137"/>
    </row>
    <row r="276" customHeight="1" spans="1:15">
      <c r="A276" s="3" t="s">
        <v>16</v>
      </c>
      <c r="B276" s="3" t="s">
        <v>228</v>
      </c>
      <c r="C276" s="4">
        <v>108</v>
      </c>
      <c r="D276" s="5">
        <v>44295</v>
      </c>
      <c r="E276" s="132">
        <v>102.69</v>
      </c>
      <c r="F276" s="132">
        <f t="shared" si="0"/>
        <v>11090.52</v>
      </c>
      <c r="G276" s="132">
        <v>0</v>
      </c>
      <c r="H276" s="132">
        <v>0</v>
      </c>
      <c r="I276" s="132"/>
      <c r="J276" s="67">
        <f t="shared" si="1"/>
        <v>11090.52</v>
      </c>
      <c r="K276" s="3" t="s">
        <v>230</v>
      </c>
      <c r="L276" s="45"/>
      <c r="M276" s="45"/>
      <c r="N276" s="137"/>
      <c r="O276" s="137"/>
    </row>
    <row r="277" customHeight="1" spans="1:15">
      <c r="A277" s="7" t="s">
        <v>16</v>
      </c>
      <c r="B277" s="7" t="s">
        <v>228</v>
      </c>
      <c r="C277" s="8">
        <v>221</v>
      </c>
      <c r="D277" s="9">
        <v>44279</v>
      </c>
      <c r="E277" s="134">
        <v>102.69</v>
      </c>
      <c r="F277" s="134">
        <f t="shared" si="0"/>
        <v>22694.49</v>
      </c>
      <c r="G277" s="134">
        <v>0</v>
      </c>
      <c r="H277" s="134">
        <v>0</v>
      </c>
      <c r="I277" s="134"/>
      <c r="J277" s="138">
        <f t="shared" si="1"/>
        <v>22694.49</v>
      </c>
      <c r="K277" s="7" t="s">
        <v>230</v>
      </c>
      <c r="L277" s="45"/>
      <c r="M277" s="45"/>
      <c r="N277" s="137"/>
      <c r="O277" s="137"/>
    </row>
    <row r="278" customHeight="1" spans="1:15">
      <c r="A278" s="3" t="s">
        <v>22</v>
      </c>
      <c r="B278" s="3" t="s">
        <v>228</v>
      </c>
      <c r="C278" s="4">
        <v>30</v>
      </c>
      <c r="D278" s="5">
        <v>44274</v>
      </c>
      <c r="E278" s="132">
        <v>118</v>
      </c>
      <c r="F278" s="132">
        <f t="shared" si="0"/>
        <v>3540</v>
      </c>
      <c r="G278" s="132">
        <v>0</v>
      </c>
      <c r="H278" s="132">
        <v>0</v>
      </c>
      <c r="I278" s="132"/>
      <c r="J278" s="67">
        <f t="shared" si="1"/>
        <v>3540</v>
      </c>
      <c r="K278" s="3" t="s">
        <v>230</v>
      </c>
      <c r="L278" s="45"/>
      <c r="M278" s="45"/>
      <c r="N278" s="137"/>
      <c r="O278" s="137"/>
    </row>
    <row r="279" customHeight="1" spans="1:15">
      <c r="A279" s="7" t="s">
        <v>16</v>
      </c>
      <c r="B279" s="7" t="s">
        <v>229</v>
      </c>
      <c r="C279" s="8">
        <v>-200</v>
      </c>
      <c r="D279" s="9">
        <v>44267</v>
      </c>
      <c r="E279" s="134">
        <v>131.1</v>
      </c>
      <c r="F279" s="134">
        <f t="shared" si="0"/>
        <v>-26220</v>
      </c>
      <c r="G279" s="134">
        <v>1.31</v>
      </c>
      <c r="H279" s="134">
        <v>6.55</v>
      </c>
      <c r="I279" s="134">
        <v>1.31</v>
      </c>
      <c r="J279" s="138">
        <f t="shared" si="1"/>
        <v>-26210.83</v>
      </c>
      <c r="K279" s="7"/>
      <c r="L279" s="45"/>
      <c r="M279" s="45"/>
      <c r="N279" s="137"/>
      <c r="O279" s="137"/>
    </row>
    <row r="280" customHeight="1" spans="1:15">
      <c r="A280" s="3" t="s">
        <v>22</v>
      </c>
      <c r="B280" s="3" t="s">
        <v>228</v>
      </c>
      <c r="C280" s="4">
        <v>110</v>
      </c>
      <c r="D280" s="5">
        <v>44265</v>
      </c>
      <c r="E280" s="132">
        <v>120.01</v>
      </c>
      <c r="F280" s="132">
        <f t="shared" si="0"/>
        <v>13201.1</v>
      </c>
      <c r="G280" s="132">
        <v>0.66</v>
      </c>
      <c r="H280" s="132">
        <v>3.3</v>
      </c>
      <c r="I280" s="132"/>
      <c r="J280" s="67">
        <f t="shared" si="1"/>
        <v>13205.06</v>
      </c>
      <c r="K280" s="3"/>
      <c r="L280" s="45"/>
      <c r="M280" s="45"/>
      <c r="N280" s="137"/>
      <c r="O280" s="137"/>
    </row>
    <row r="281" customHeight="1" spans="1:15">
      <c r="A281" s="7" t="s">
        <v>16</v>
      </c>
      <c r="B281" s="7" t="s">
        <v>229</v>
      </c>
      <c r="C281" s="8">
        <v>-100</v>
      </c>
      <c r="D281" s="9">
        <v>44265</v>
      </c>
      <c r="E281" s="134">
        <v>135.01</v>
      </c>
      <c r="F281" s="134">
        <f t="shared" si="0"/>
        <v>-13501</v>
      </c>
      <c r="G281" s="134">
        <v>0.67</v>
      </c>
      <c r="H281" s="134">
        <v>3.37</v>
      </c>
      <c r="I281" s="134">
        <v>0.67</v>
      </c>
      <c r="J281" s="138">
        <f t="shared" si="1"/>
        <v>-13496.29</v>
      </c>
      <c r="K281" s="7"/>
      <c r="L281" s="45"/>
      <c r="M281" s="45"/>
      <c r="N281" s="137"/>
      <c r="O281" s="137"/>
    </row>
    <row r="282" customHeight="1" spans="1:15">
      <c r="A282" s="3" t="s">
        <v>39</v>
      </c>
      <c r="B282" s="3" t="s">
        <v>228</v>
      </c>
      <c r="C282" s="4">
        <v>63</v>
      </c>
      <c r="D282" s="5">
        <v>44265</v>
      </c>
      <c r="E282" s="132">
        <v>120.86</v>
      </c>
      <c r="F282" s="132">
        <f t="shared" si="0"/>
        <v>7614.18</v>
      </c>
      <c r="G282" s="132">
        <f t="shared" ref="G282:G283" si="8">IF(K282="SUBSCRIÇÃO",0,ABS(0.00004316*E282*C282))</f>
        <v>0</v>
      </c>
      <c r="H282" s="132">
        <f t="shared" ref="H282:H283" si="9">IF(K282="SUBSCRIÇÃO",0,ABS(0.0002749*E282*C282))</f>
        <v>0</v>
      </c>
      <c r="I282" s="132"/>
      <c r="J282" s="67">
        <f t="shared" si="1"/>
        <v>7614.18</v>
      </c>
      <c r="K282" s="3" t="s">
        <v>230</v>
      </c>
      <c r="L282" s="45"/>
      <c r="M282" s="45"/>
      <c r="N282" s="137"/>
      <c r="O282" s="137"/>
    </row>
    <row r="283" customHeight="1" spans="1:15">
      <c r="A283" s="7" t="s">
        <v>39</v>
      </c>
      <c r="B283" s="7" t="s">
        <v>228</v>
      </c>
      <c r="C283" s="8">
        <v>78</v>
      </c>
      <c r="D283" s="9">
        <v>44251</v>
      </c>
      <c r="E283" s="134">
        <v>120.86</v>
      </c>
      <c r="F283" s="134">
        <f t="shared" si="0"/>
        <v>9427.08</v>
      </c>
      <c r="G283" s="134">
        <f t="shared" si="8"/>
        <v>0</v>
      </c>
      <c r="H283" s="134">
        <f t="shared" si="9"/>
        <v>0</v>
      </c>
      <c r="I283" s="134"/>
      <c r="J283" s="138">
        <f t="shared" si="1"/>
        <v>9427.08</v>
      </c>
      <c r="K283" s="7" t="s">
        <v>230</v>
      </c>
      <c r="L283" s="45"/>
      <c r="M283" s="45"/>
      <c r="N283" s="137"/>
      <c r="O283" s="137"/>
    </row>
    <row r="284" customHeight="1" spans="1:15">
      <c r="A284" s="3" t="s">
        <v>16</v>
      </c>
      <c r="B284" s="3" t="s">
        <v>229</v>
      </c>
      <c r="C284" s="4">
        <v>-70</v>
      </c>
      <c r="D284" s="5">
        <v>44249</v>
      </c>
      <c r="E284" s="132">
        <v>148.7</v>
      </c>
      <c r="F284" s="132">
        <f t="shared" si="0"/>
        <v>-10409</v>
      </c>
      <c r="G284" s="132">
        <v>0.518</v>
      </c>
      <c r="H284" s="132">
        <v>2.6</v>
      </c>
      <c r="I284" s="132">
        <v>0.52</v>
      </c>
      <c r="J284" s="67">
        <f t="shared" si="1"/>
        <v>-10405.362</v>
      </c>
      <c r="K284" s="3"/>
      <c r="L284" s="45"/>
      <c r="M284" s="45"/>
      <c r="N284" s="137"/>
      <c r="O284" s="137"/>
    </row>
    <row r="285" customHeight="1" spans="1:15">
      <c r="A285" s="7" t="s">
        <v>20</v>
      </c>
      <c r="B285" s="7" t="s">
        <v>228</v>
      </c>
      <c r="C285" s="8">
        <v>43</v>
      </c>
      <c r="D285" s="9">
        <v>44250</v>
      </c>
      <c r="E285" s="134">
        <v>98</v>
      </c>
      <c r="F285" s="134">
        <f t="shared" si="0"/>
        <v>4214</v>
      </c>
      <c r="G285" s="134">
        <f>IF(K285="SUBSCRIÇÃO",0,ABS(0.00004316*E285*C285))</f>
        <v>0</v>
      </c>
      <c r="H285" s="134">
        <f>IF(K285="SUBSCRIÇÃO",0,ABS(0.0002749*E285*C285))</f>
        <v>0</v>
      </c>
      <c r="I285" s="134"/>
      <c r="J285" s="138">
        <f t="shared" si="1"/>
        <v>4214</v>
      </c>
      <c r="K285" s="7" t="s">
        <v>230</v>
      </c>
      <c r="L285" s="45"/>
      <c r="M285" s="45"/>
      <c r="N285" s="137"/>
      <c r="O285" s="137"/>
    </row>
    <row r="286" customHeight="1" spans="1:15">
      <c r="A286" s="3" t="s">
        <v>26</v>
      </c>
      <c r="B286" s="3" t="s">
        <v>228</v>
      </c>
      <c r="C286" s="4">
        <v>900</v>
      </c>
      <c r="D286" s="5">
        <v>44249</v>
      </c>
      <c r="E286" s="132">
        <f>98.85/9</f>
        <v>10.9833333333333</v>
      </c>
      <c r="F286" s="132">
        <f t="shared" si="0"/>
        <v>9885</v>
      </c>
      <c r="G286" s="132">
        <v>0.492</v>
      </c>
      <c r="H286" s="132">
        <v>2.47</v>
      </c>
      <c r="I286" s="132"/>
      <c r="J286" s="67">
        <f t="shared" si="1"/>
        <v>9887.962</v>
      </c>
      <c r="K286" s="3"/>
      <c r="L286" s="45"/>
      <c r="M286" s="45"/>
      <c r="N286" s="137"/>
      <c r="O286" s="137"/>
    </row>
    <row r="287" customHeight="1" spans="1:15">
      <c r="A287" s="7" t="s">
        <v>23</v>
      </c>
      <c r="B287" s="7" t="s">
        <v>228</v>
      </c>
      <c r="C287" s="8">
        <v>97</v>
      </c>
      <c r="D287" s="9">
        <v>44245</v>
      </c>
      <c r="E287" s="134">
        <v>103.7</v>
      </c>
      <c r="F287" s="134">
        <f t="shared" si="0"/>
        <v>10058.9</v>
      </c>
      <c r="G287" s="134">
        <v>0</v>
      </c>
      <c r="H287" s="134">
        <v>0</v>
      </c>
      <c r="I287" s="134"/>
      <c r="J287" s="138">
        <f t="shared" si="1"/>
        <v>10058.9</v>
      </c>
      <c r="K287" s="7" t="s">
        <v>230</v>
      </c>
      <c r="L287" s="45"/>
      <c r="M287" s="45"/>
      <c r="N287" s="137"/>
      <c r="O287" s="137"/>
    </row>
    <row r="288" customHeight="1" spans="1:15">
      <c r="A288" s="3" t="s">
        <v>20</v>
      </c>
      <c r="B288" s="3" t="s">
        <v>228</v>
      </c>
      <c r="C288" s="4">
        <v>113</v>
      </c>
      <c r="D288" s="5">
        <v>44231</v>
      </c>
      <c r="E288" s="132">
        <v>98</v>
      </c>
      <c r="F288" s="132">
        <f t="shared" si="0"/>
        <v>11074</v>
      </c>
      <c r="G288" s="132">
        <v>0</v>
      </c>
      <c r="H288" s="132">
        <v>0</v>
      </c>
      <c r="I288" s="132"/>
      <c r="J288" s="67">
        <f t="shared" si="1"/>
        <v>11074</v>
      </c>
      <c r="K288" s="3" t="s">
        <v>230</v>
      </c>
      <c r="L288" s="45"/>
      <c r="M288" s="45"/>
      <c r="N288" s="137"/>
      <c r="O288" s="137"/>
    </row>
    <row r="289" customHeight="1" spans="1:15">
      <c r="A289" s="7" t="s">
        <v>39</v>
      </c>
      <c r="B289" s="7" t="s">
        <v>229</v>
      </c>
      <c r="C289" s="8">
        <v>-100</v>
      </c>
      <c r="D289" s="9">
        <v>44230</v>
      </c>
      <c r="E289" s="134">
        <v>160.81</v>
      </c>
      <c r="F289" s="134">
        <f t="shared" si="0"/>
        <v>-16081</v>
      </c>
      <c r="G289" s="134">
        <v>0.8</v>
      </c>
      <c r="H289" s="134">
        <v>4.02</v>
      </c>
      <c r="I289" s="134">
        <v>0.8</v>
      </c>
      <c r="J289" s="138">
        <f t="shared" si="1"/>
        <v>-16075.38</v>
      </c>
      <c r="K289" s="7"/>
      <c r="L289" s="45"/>
      <c r="M289" s="45"/>
      <c r="N289" s="137"/>
      <c r="O289" s="137"/>
    </row>
    <row r="290" customHeight="1" spans="1:15">
      <c r="A290" s="3" t="s">
        <v>129</v>
      </c>
      <c r="B290" s="3" t="s">
        <v>229</v>
      </c>
      <c r="C290" s="4">
        <v>-135</v>
      </c>
      <c r="D290" s="5">
        <v>44228</v>
      </c>
      <c r="E290" s="132">
        <v>97.87</v>
      </c>
      <c r="F290" s="132">
        <f t="shared" si="0"/>
        <v>-13212.45</v>
      </c>
      <c r="G290" s="132">
        <f t="shared" ref="G290:G296" si="10">IF(K290="SUBSCRIÇÃO",0,ABS(0.00004316*E290*C290))</f>
        <v>0.570249342</v>
      </c>
      <c r="H290" s="132">
        <f t="shared" ref="H290:H298" si="11">IF(K290="SUBSCRIÇÃO",0,ABS(0.0002749*E290*C290))</f>
        <v>3.632102505</v>
      </c>
      <c r="I290" s="132">
        <v>0.66</v>
      </c>
      <c r="J290" s="67">
        <f t="shared" si="1"/>
        <v>-13207.587648153</v>
      </c>
      <c r="K290" s="3"/>
      <c r="L290" s="45"/>
      <c r="M290" s="45"/>
      <c r="N290" s="137"/>
      <c r="O290" s="137"/>
    </row>
    <row r="291" customHeight="1" spans="1:15">
      <c r="A291" s="7" t="s">
        <v>22</v>
      </c>
      <c r="B291" s="7" t="s">
        <v>228</v>
      </c>
      <c r="C291" s="8">
        <v>19</v>
      </c>
      <c r="D291" s="9">
        <v>44211</v>
      </c>
      <c r="E291" s="134">
        <v>118</v>
      </c>
      <c r="F291" s="134">
        <f t="shared" si="0"/>
        <v>2242</v>
      </c>
      <c r="G291" s="134">
        <f t="shared" si="10"/>
        <v>0</v>
      </c>
      <c r="H291" s="134">
        <f t="shared" si="11"/>
        <v>0</v>
      </c>
      <c r="I291" s="134"/>
      <c r="J291" s="138">
        <f t="shared" si="1"/>
        <v>2242</v>
      </c>
      <c r="K291" s="7" t="s">
        <v>230</v>
      </c>
      <c r="L291" s="45"/>
      <c r="M291" s="45"/>
      <c r="N291" s="137"/>
      <c r="O291" s="137"/>
    </row>
    <row r="292" customHeight="1" spans="1:15">
      <c r="A292" s="3" t="s">
        <v>18</v>
      </c>
      <c r="B292" s="3" t="s">
        <v>228</v>
      </c>
      <c r="C292" s="4">
        <v>38</v>
      </c>
      <c r="D292" s="5">
        <v>44208</v>
      </c>
      <c r="E292" s="132">
        <v>128</v>
      </c>
      <c r="F292" s="132">
        <f t="shared" si="0"/>
        <v>4864</v>
      </c>
      <c r="G292" s="132">
        <f t="shared" si="10"/>
        <v>0</v>
      </c>
      <c r="H292" s="132">
        <f t="shared" si="11"/>
        <v>0</v>
      </c>
      <c r="I292" s="132"/>
      <c r="J292" s="67">
        <f t="shared" si="1"/>
        <v>4864</v>
      </c>
      <c r="K292" s="3" t="s">
        <v>230</v>
      </c>
      <c r="L292" s="45"/>
      <c r="M292" s="45"/>
      <c r="N292" s="137"/>
      <c r="O292" s="137"/>
    </row>
    <row r="293" customHeight="1" spans="1:15">
      <c r="A293" s="7" t="s">
        <v>39</v>
      </c>
      <c r="B293" s="7" t="s">
        <v>228</v>
      </c>
      <c r="C293" s="8">
        <v>49</v>
      </c>
      <c r="D293" s="9">
        <v>44193</v>
      </c>
      <c r="E293" s="134">
        <v>119.83</v>
      </c>
      <c r="F293" s="134">
        <f t="shared" si="0"/>
        <v>5871.67</v>
      </c>
      <c r="G293" s="134">
        <f t="shared" si="10"/>
        <v>0</v>
      </c>
      <c r="H293" s="134">
        <f t="shared" si="11"/>
        <v>0</v>
      </c>
      <c r="I293" s="134"/>
      <c r="J293" s="138">
        <f t="shared" si="1"/>
        <v>5871.67</v>
      </c>
      <c r="K293" s="7" t="s">
        <v>230</v>
      </c>
      <c r="L293" s="45"/>
      <c r="M293" s="45"/>
      <c r="N293" s="137"/>
      <c r="O293" s="137"/>
    </row>
    <row r="294" customHeight="1" spans="1:15">
      <c r="A294" s="3" t="s">
        <v>18</v>
      </c>
      <c r="B294" s="3" t="s">
        <v>228</v>
      </c>
      <c r="C294" s="4">
        <v>39</v>
      </c>
      <c r="D294" s="131">
        <v>44186</v>
      </c>
      <c r="E294" s="132">
        <v>128</v>
      </c>
      <c r="F294" s="132">
        <f t="shared" si="0"/>
        <v>4992</v>
      </c>
      <c r="G294" s="132">
        <f t="shared" si="10"/>
        <v>0</v>
      </c>
      <c r="H294" s="132">
        <f t="shared" si="11"/>
        <v>0</v>
      </c>
      <c r="I294" s="132"/>
      <c r="J294" s="67">
        <f t="shared" si="1"/>
        <v>4992</v>
      </c>
      <c r="K294" s="3" t="s">
        <v>230</v>
      </c>
      <c r="L294" s="45"/>
      <c r="M294" s="45"/>
      <c r="N294" s="137"/>
      <c r="O294" s="137"/>
    </row>
    <row r="295" customHeight="1" spans="1:15">
      <c r="A295" s="7" t="s">
        <v>16</v>
      </c>
      <c r="B295" s="7" t="s">
        <v>228</v>
      </c>
      <c r="C295" s="8">
        <v>52</v>
      </c>
      <c r="D295" s="133">
        <v>44186</v>
      </c>
      <c r="E295" s="134">
        <v>98.24</v>
      </c>
      <c r="F295" s="134">
        <f t="shared" si="0"/>
        <v>5108.48</v>
      </c>
      <c r="G295" s="134">
        <f t="shared" si="10"/>
        <v>0</v>
      </c>
      <c r="H295" s="134">
        <f t="shared" si="11"/>
        <v>0</v>
      </c>
      <c r="I295" s="134"/>
      <c r="J295" s="138">
        <f t="shared" si="1"/>
        <v>5108.48</v>
      </c>
      <c r="K295" s="7" t="s">
        <v>230</v>
      </c>
      <c r="L295" s="45"/>
      <c r="M295" s="45"/>
      <c r="N295" s="137"/>
      <c r="O295" s="137"/>
    </row>
    <row r="296" customHeight="1" spans="1:15">
      <c r="A296" s="3" t="s">
        <v>23</v>
      </c>
      <c r="B296" s="3" t="s">
        <v>228</v>
      </c>
      <c r="C296" s="4">
        <v>50</v>
      </c>
      <c r="D296" s="131">
        <v>44182</v>
      </c>
      <c r="E296" s="132">
        <v>101.43</v>
      </c>
      <c r="F296" s="132">
        <f t="shared" si="0"/>
        <v>5071.5</v>
      </c>
      <c r="G296" s="132">
        <f t="shared" si="10"/>
        <v>0.21888594</v>
      </c>
      <c r="H296" s="132">
        <f t="shared" si="11"/>
        <v>1.39415535</v>
      </c>
      <c r="I296" s="132"/>
      <c r="J296" s="67">
        <f t="shared" si="1"/>
        <v>5073.11304129</v>
      </c>
      <c r="K296" s="3"/>
      <c r="L296" s="45"/>
      <c r="M296" s="45"/>
      <c r="N296" s="137"/>
      <c r="O296" s="137"/>
    </row>
    <row r="297" customHeight="1" spans="1:15">
      <c r="A297" s="7" t="s">
        <v>24</v>
      </c>
      <c r="B297" s="7" t="s">
        <v>229</v>
      </c>
      <c r="C297" s="8">
        <v>-50</v>
      </c>
      <c r="D297" s="133">
        <v>44182</v>
      </c>
      <c r="E297" s="134">
        <v>100.33</v>
      </c>
      <c r="F297" s="134">
        <f t="shared" si="0"/>
        <v>-5016.5</v>
      </c>
      <c r="G297" s="134">
        <v>0.15</v>
      </c>
      <c r="H297" s="134">
        <f t="shared" si="11"/>
        <v>1.37903585</v>
      </c>
      <c r="I297" s="134">
        <v>0.25</v>
      </c>
      <c r="J297" s="138">
        <f t="shared" si="1"/>
        <v>-5014.72096415</v>
      </c>
      <c r="K297" s="7"/>
      <c r="L297" s="45"/>
      <c r="M297" s="45"/>
      <c r="N297" s="137"/>
      <c r="O297" s="137"/>
    </row>
    <row r="298" customHeight="1" spans="1:15">
      <c r="A298" s="3" t="s">
        <v>24</v>
      </c>
      <c r="B298" s="3" t="s">
        <v>229</v>
      </c>
      <c r="C298" s="4">
        <v>-50</v>
      </c>
      <c r="D298" s="131">
        <v>44182</v>
      </c>
      <c r="E298" s="132">
        <v>100.25</v>
      </c>
      <c r="F298" s="132">
        <f t="shared" si="0"/>
        <v>-5012.5</v>
      </c>
      <c r="G298" s="132">
        <v>0.15</v>
      </c>
      <c r="H298" s="132">
        <f t="shared" si="11"/>
        <v>1.37793625</v>
      </c>
      <c r="I298" s="132">
        <v>0.25</v>
      </c>
      <c r="J298" s="67">
        <f t="shared" si="1"/>
        <v>-5010.72206375</v>
      </c>
      <c r="K298" s="3"/>
      <c r="L298" s="45"/>
      <c r="M298" s="45"/>
      <c r="N298" s="137"/>
      <c r="O298" s="137"/>
    </row>
    <row r="299" customHeight="1" spans="1:15">
      <c r="A299" s="7" t="s">
        <v>23</v>
      </c>
      <c r="B299" s="7" t="s">
        <v>228</v>
      </c>
      <c r="C299" s="8">
        <v>30</v>
      </c>
      <c r="D299" s="133">
        <v>44182</v>
      </c>
      <c r="E299" s="134">
        <v>101.45</v>
      </c>
      <c r="F299" s="134">
        <f t="shared" si="0"/>
        <v>3043.5</v>
      </c>
      <c r="G299" s="134">
        <v>0.12</v>
      </c>
      <c r="H299" s="134">
        <v>1.185</v>
      </c>
      <c r="I299" s="134"/>
      <c r="J299" s="138">
        <f t="shared" si="1"/>
        <v>3044.805</v>
      </c>
      <c r="K299" s="7"/>
      <c r="L299" s="45"/>
      <c r="M299" s="45"/>
      <c r="N299" s="137"/>
      <c r="O299" s="137"/>
    </row>
    <row r="300" customHeight="1" spans="1:15">
      <c r="A300" s="3" t="s">
        <v>23</v>
      </c>
      <c r="B300" s="3" t="s">
        <v>228</v>
      </c>
      <c r="C300" s="4">
        <v>90</v>
      </c>
      <c r="D300" s="131">
        <v>44182</v>
      </c>
      <c r="E300" s="132">
        <v>101.5</v>
      </c>
      <c r="F300" s="132">
        <f t="shared" si="0"/>
        <v>9135</v>
      </c>
      <c r="G300" s="132">
        <v>0.4</v>
      </c>
      <c r="H300" s="132">
        <v>3.55</v>
      </c>
      <c r="I300" s="132"/>
      <c r="J300" s="67">
        <f t="shared" si="1"/>
        <v>9138.95</v>
      </c>
      <c r="K300" s="3"/>
      <c r="L300" s="45"/>
      <c r="M300" s="45"/>
      <c r="N300" s="137"/>
      <c r="O300" s="137"/>
    </row>
    <row r="301" customHeight="1" spans="1:15">
      <c r="A301" s="7" t="s">
        <v>22</v>
      </c>
      <c r="B301" s="7" t="s">
        <v>228</v>
      </c>
      <c r="C301" s="8">
        <v>8</v>
      </c>
      <c r="D301" s="133">
        <v>44182</v>
      </c>
      <c r="E301" s="134">
        <v>118</v>
      </c>
      <c r="F301" s="134">
        <f t="shared" si="0"/>
        <v>944</v>
      </c>
      <c r="G301" s="134">
        <f>IF(K301="SUBSCRIÇÃO",0,ABS(0.00004316*E301*C301))</f>
        <v>0</v>
      </c>
      <c r="H301" s="134">
        <f>IF(K301="SUBSCRIÇÃO",0,ABS(0.0002749*E301*C301))</f>
        <v>0</v>
      </c>
      <c r="I301" s="134"/>
      <c r="J301" s="138">
        <f t="shared" si="1"/>
        <v>944</v>
      </c>
      <c r="K301" s="7" t="s">
        <v>230</v>
      </c>
      <c r="L301" s="45"/>
      <c r="M301" s="45"/>
      <c r="N301" s="137"/>
      <c r="O301" s="137"/>
    </row>
    <row r="302" customHeight="1" spans="1:15">
      <c r="A302" s="3" t="s">
        <v>15</v>
      </c>
      <c r="B302" s="3" t="s">
        <v>228</v>
      </c>
      <c r="C302" s="4">
        <v>20</v>
      </c>
      <c r="D302" s="131">
        <v>44179</v>
      </c>
      <c r="E302" s="132">
        <v>167.85</v>
      </c>
      <c r="F302" s="132">
        <f t="shared" si="0"/>
        <v>3357</v>
      </c>
      <c r="G302" s="132">
        <v>0.1</v>
      </c>
      <c r="H302" s="132">
        <f t="shared" ref="H302:H303" si="12">ABS(0.0002749*E302*C302)</f>
        <v>0.9228393</v>
      </c>
      <c r="I302" s="132"/>
      <c r="J302" s="67">
        <f t="shared" si="1"/>
        <v>3358.0228393</v>
      </c>
      <c r="K302" s="3"/>
      <c r="L302" s="45"/>
      <c r="M302" s="45"/>
      <c r="N302" s="137"/>
      <c r="O302" s="137"/>
    </row>
    <row r="303" customHeight="1" spans="1:15">
      <c r="A303" s="7" t="s">
        <v>133</v>
      </c>
      <c r="B303" s="7" t="s">
        <v>229</v>
      </c>
      <c r="C303" s="8">
        <v>-37</v>
      </c>
      <c r="D303" s="133">
        <v>44175</v>
      </c>
      <c r="E303" s="134">
        <v>112.17</v>
      </c>
      <c r="F303" s="134">
        <f t="shared" si="0"/>
        <v>-4150.29</v>
      </c>
      <c r="G303" s="134">
        <v>0.12</v>
      </c>
      <c r="H303" s="134">
        <f t="shared" si="12"/>
        <v>1.140914721</v>
      </c>
      <c r="I303" s="134">
        <v>0.24</v>
      </c>
      <c r="J303" s="138">
        <f t="shared" si="1"/>
        <v>-4148.789085279</v>
      </c>
      <c r="K303" s="7"/>
      <c r="L303" s="45"/>
      <c r="M303" s="45"/>
      <c r="N303" s="137"/>
      <c r="O303" s="137"/>
    </row>
    <row r="304" customHeight="1" spans="1:15">
      <c r="A304" s="3" t="s">
        <v>133</v>
      </c>
      <c r="B304" s="3" t="s">
        <v>229</v>
      </c>
      <c r="C304" s="4">
        <v>-5</v>
      </c>
      <c r="D304" s="131">
        <v>44175</v>
      </c>
      <c r="E304" s="132">
        <v>113.35</v>
      </c>
      <c r="F304" s="132">
        <f t="shared" si="0"/>
        <v>-566.75</v>
      </c>
      <c r="G304" s="132">
        <f>ABS(0.00004316*E304*C304)</f>
        <v>0.02446093</v>
      </c>
      <c r="H304" s="132">
        <v>0.15</v>
      </c>
      <c r="I304" s="132"/>
      <c r="J304" s="67">
        <f t="shared" si="1"/>
        <v>-566.57553907</v>
      </c>
      <c r="K304" s="3"/>
      <c r="L304" s="45"/>
      <c r="M304" s="45"/>
      <c r="N304" s="137"/>
      <c r="O304" s="137"/>
    </row>
    <row r="305" customHeight="1" spans="1:15">
      <c r="A305" s="7" t="s">
        <v>146</v>
      </c>
      <c r="B305" s="7" t="s">
        <v>229</v>
      </c>
      <c r="C305" s="8">
        <v>-19</v>
      </c>
      <c r="D305" s="133">
        <v>44175</v>
      </c>
      <c r="E305" s="134">
        <v>99.45</v>
      </c>
      <c r="F305" s="134">
        <f t="shared" si="0"/>
        <v>-1889.55</v>
      </c>
      <c r="G305" s="134">
        <v>0.05</v>
      </c>
      <c r="H305" s="134">
        <f>ABS(0.0002749*E305*C305)</f>
        <v>0.519437295</v>
      </c>
      <c r="I305" s="134">
        <v>0.09</v>
      </c>
      <c r="J305" s="138">
        <f t="shared" si="1"/>
        <v>-1888.890562705</v>
      </c>
      <c r="K305" s="7"/>
      <c r="L305" s="45"/>
      <c r="M305" s="45"/>
      <c r="N305" s="137"/>
      <c r="O305" s="137"/>
    </row>
    <row r="306" customHeight="1" spans="1:15">
      <c r="A306" s="3" t="s">
        <v>39</v>
      </c>
      <c r="B306" s="3" t="s">
        <v>228</v>
      </c>
      <c r="C306" s="4">
        <v>105</v>
      </c>
      <c r="D306" s="131">
        <v>44175</v>
      </c>
      <c r="E306" s="132">
        <v>119.83</v>
      </c>
      <c r="F306" s="132">
        <f t="shared" si="0"/>
        <v>12582.15</v>
      </c>
      <c r="G306" s="132">
        <v>0</v>
      </c>
      <c r="H306" s="132">
        <v>0</v>
      </c>
      <c r="I306" s="132"/>
      <c r="J306" s="67">
        <f t="shared" si="1"/>
        <v>12582.15</v>
      </c>
      <c r="K306" s="3" t="s">
        <v>230</v>
      </c>
      <c r="L306" s="45"/>
      <c r="M306" s="45"/>
      <c r="N306" s="137"/>
      <c r="O306" s="137"/>
    </row>
    <row r="307" customHeight="1" spans="1:15">
      <c r="A307" s="7" t="s">
        <v>133</v>
      </c>
      <c r="B307" s="7" t="s">
        <v>229</v>
      </c>
      <c r="C307" s="8">
        <v>-28</v>
      </c>
      <c r="D307" s="133">
        <v>44173</v>
      </c>
      <c r="E307" s="134">
        <v>113.28</v>
      </c>
      <c r="F307" s="134">
        <f t="shared" si="0"/>
        <v>-3171.84</v>
      </c>
      <c r="G307" s="134">
        <f>ABS(0.00004316*E307*C307)</f>
        <v>0.1368966144</v>
      </c>
      <c r="H307" s="134">
        <f t="shared" ref="H307:H309" si="13">ABS(0.0002749*E307*C307)</f>
        <v>0.871938816</v>
      </c>
      <c r="I307" s="134"/>
      <c r="J307" s="138">
        <f t="shared" si="1"/>
        <v>-3170.8311645696</v>
      </c>
      <c r="K307" s="7"/>
      <c r="L307" s="45"/>
      <c r="M307" s="45"/>
      <c r="N307" s="137"/>
      <c r="O307" s="137"/>
    </row>
    <row r="308" customHeight="1" spans="1:15">
      <c r="A308" s="3" t="s">
        <v>133</v>
      </c>
      <c r="B308" s="3" t="s">
        <v>229</v>
      </c>
      <c r="C308" s="4">
        <v>-100</v>
      </c>
      <c r="D308" s="131">
        <v>44173</v>
      </c>
      <c r="E308" s="132">
        <v>113.2</v>
      </c>
      <c r="F308" s="132">
        <f t="shared" si="0"/>
        <v>-11320</v>
      </c>
      <c r="G308" s="132">
        <v>0.39</v>
      </c>
      <c r="H308" s="132">
        <f t="shared" si="13"/>
        <v>3.111868</v>
      </c>
      <c r="I308" s="132">
        <v>0.72</v>
      </c>
      <c r="J308" s="67">
        <f t="shared" si="1"/>
        <v>-11315.778132</v>
      </c>
      <c r="K308" s="3"/>
      <c r="L308" s="45"/>
      <c r="M308" s="45"/>
      <c r="N308" s="137"/>
      <c r="O308" s="137"/>
    </row>
    <row r="309" customHeight="1" spans="1:15">
      <c r="A309" s="7" t="s">
        <v>133</v>
      </c>
      <c r="B309" s="7" t="s">
        <v>229</v>
      </c>
      <c r="C309" s="8">
        <v>-20</v>
      </c>
      <c r="D309" s="133">
        <v>44174</v>
      </c>
      <c r="E309" s="134">
        <v>112.35</v>
      </c>
      <c r="F309" s="134">
        <f t="shared" si="0"/>
        <v>-2247</v>
      </c>
      <c r="G309" s="134">
        <v>0.08</v>
      </c>
      <c r="H309" s="134">
        <f t="shared" si="13"/>
        <v>0.6177003</v>
      </c>
      <c r="I309" s="134"/>
      <c r="J309" s="138">
        <f t="shared" si="1"/>
        <v>-2246.3022997</v>
      </c>
      <c r="K309" s="7"/>
      <c r="L309" s="45"/>
      <c r="M309" s="45"/>
      <c r="N309" s="137"/>
      <c r="O309" s="137"/>
    </row>
    <row r="310" customHeight="1" spans="1:15">
      <c r="A310" s="3" t="s">
        <v>133</v>
      </c>
      <c r="B310" s="3" t="s">
        <v>229</v>
      </c>
      <c r="C310" s="4">
        <v>-30</v>
      </c>
      <c r="D310" s="131">
        <v>44174</v>
      </c>
      <c r="E310" s="132">
        <v>112.17</v>
      </c>
      <c r="F310" s="132">
        <f t="shared" si="0"/>
        <v>-3365.1</v>
      </c>
      <c r="G310" s="132">
        <v>0.09</v>
      </c>
      <c r="H310" s="132">
        <v>0.92</v>
      </c>
      <c r="I310" s="132">
        <v>0.28</v>
      </c>
      <c r="J310" s="67">
        <f t="shared" si="1"/>
        <v>-3363.81</v>
      </c>
      <c r="K310" s="3"/>
      <c r="L310" s="45"/>
      <c r="M310" s="45"/>
      <c r="N310" s="137"/>
      <c r="O310" s="137"/>
    </row>
    <row r="311" customHeight="1" spans="1:15">
      <c r="A311" s="7" t="s">
        <v>146</v>
      </c>
      <c r="B311" s="7" t="s">
        <v>229</v>
      </c>
      <c r="C311" s="8">
        <v>-56</v>
      </c>
      <c r="D311" s="133">
        <v>44174</v>
      </c>
      <c r="E311" s="134">
        <v>99.88</v>
      </c>
      <c r="F311" s="134">
        <f t="shared" si="0"/>
        <v>-5593.28</v>
      </c>
      <c r="G311" s="134">
        <v>0.16</v>
      </c>
      <c r="H311" s="134">
        <f>ABS(0.0002749*E311*C311)</f>
        <v>1.537592672</v>
      </c>
      <c r="I311" s="134">
        <v>0.28</v>
      </c>
      <c r="J311" s="138">
        <f t="shared" si="1"/>
        <v>-5591.302407328</v>
      </c>
      <c r="K311" s="7"/>
      <c r="L311" s="45"/>
      <c r="M311" s="45"/>
      <c r="N311" s="137"/>
      <c r="O311" s="137"/>
    </row>
    <row r="312" customHeight="1" spans="1:15">
      <c r="A312" s="3" t="s">
        <v>16</v>
      </c>
      <c r="B312" s="3" t="s">
        <v>228</v>
      </c>
      <c r="C312" s="4">
        <v>204</v>
      </c>
      <c r="D312" s="131">
        <v>44139</v>
      </c>
      <c r="E312" s="132">
        <v>98.24</v>
      </c>
      <c r="F312" s="132">
        <f t="shared" si="0"/>
        <v>20040.96</v>
      </c>
      <c r="G312" s="132">
        <v>0</v>
      </c>
      <c r="H312" s="132">
        <v>0</v>
      </c>
      <c r="I312" s="132"/>
      <c r="J312" s="67">
        <f t="shared" si="1"/>
        <v>20040.96</v>
      </c>
      <c r="K312" s="3" t="s">
        <v>230</v>
      </c>
      <c r="L312" s="45"/>
      <c r="M312" s="45"/>
      <c r="N312" s="137"/>
      <c r="O312" s="137"/>
    </row>
    <row r="313" customHeight="1" spans="1:15">
      <c r="A313" s="7" t="s">
        <v>24</v>
      </c>
      <c r="B313" s="7" t="s">
        <v>228</v>
      </c>
      <c r="C313" s="8">
        <v>220</v>
      </c>
      <c r="D313" s="133">
        <v>44141</v>
      </c>
      <c r="E313" s="134">
        <v>100.63</v>
      </c>
      <c r="F313" s="134">
        <f t="shared" si="0"/>
        <v>22138.6</v>
      </c>
      <c r="G313" s="134">
        <v>0.71</v>
      </c>
      <c r="H313" s="134">
        <v>6.08</v>
      </c>
      <c r="I313" s="134"/>
      <c r="J313" s="138">
        <f t="shared" si="1"/>
        <v>22145.39</v>
      </c>
      <c r="K313" s="7"/>
      <c r="L313" s="45"/>
      <c r="M313" s="45"/>
      <c r="N313" s="137"/>
      <c r="O313" s="137"/>
    </row>
    <row r="314" customHeight="1" spans="1:15">
      <c r="A314" s="3" t="s">
        <v>149</v>
      </c>
      <c r="B314" s="3" t="s">
        <v>229</v>
      </c>
      <c r="C314" s="4">
        <v>-189</v>
      </c>
      <c r="D314" s="131">
        <v>44141</v>
      </c>
      <c r="E314" s="132">
        <v>119.08</v>
      </c>
      <c r="F314" s="132">
        <f t="shared" si="0"/>
        <v>-22506.12</v>
      </c>
      <c r="G314" s="132">
        <v>0.73</v>
      </c>
      <c r="H314" s="132">
        <f t="shared" ref="H314:H315" si="14">ABS(0.0002749*E314*C314)</f>
        <v>6.186932388</v>
      </c>
      <c r="I314" s="132">
        <v>1.12</v>
      </c>
      <c r="J314" s="67">
        <f t="shared" si="1"/>
        <v>-22498.083067612</v>
      </c>
      <c r="K314" s="3"/>
      <c r="L314" s="45"/>
      <c r="M314" s="45"/>
      <c r="N314" s="137"/>
      <c r="O314" s="137"/>
    </row>
    <row r="315" customHeight="1" spans="1:15">
      <c r="A315" s="7" t="s">
        <v>149</v>
      </c>
      <c r="B315" s="7" t="s">
        <v>229</v>
      </c>
      <c r="C315" s="8">
        <v>-45</v>
      </c>
      <c r="D315" s="133">
        <v>44140</v>
      </c>
      <c r="E315" s="134">
        <v>119.51</v>
      </c>
      <c r="F315" s="134">
        <f t="shared" si="0"/>
        <v>-5377.95</v>
      </c>
      <c r="G315" s="134">
        <v>0.17</v>
      </c>
      <c r="H315" s="134">
        <f t="shared" si="14"/>
        <v>1.478398455</v>
      </c>
      <c r="I315" s="134">
        <v>0.26</v>
      </c>
      <c r="J315" s="138">
        <f t="shared" si="1"/>
        <v>-5376.041601545</v>
      </c>
      <c r="K315" s="7"/>
      <c r="L315" s="45"/>
      <c r="M315" s="45"/>
      <c r="N315" s="137"/>
      <c r="O315" s="137"/>
    </row>
    <row r="316" customHeight="1" spans="1:15">
      <c r="A316" s="3" t="s">
        <v>35</v>
      </c>
      <c r="B316" s="3" t="s">
        <v>228</v>
      </c>
      <c r="C316" s="4">
        <v>50</v>
      </c>
      <c r="D316" s="131">
        <v>44140</v>
      </c>
      <c r="E316" s="132">
        <v>159</v>
      </c>
      <c r="F316" s="132">
        <f t="shared" si="0"/>
        <v>7950</v>
      </c>
      <c r="G316" s="132">
        <v>0.26</v>
      </c>
      <c r="H316" s="132">
        <v>2.18</v>
      </c>
      <c r="I316" s="132"/>
      <c r="J316" s="67">
        <f t="shared" si="1"/>
        <v>7952.44</v>
      </c>
      <c r="K316" s="3"/>
      <c r="L316" s="45"/>
      <c r="M316" s="45"/>
      <c r="N316" s="137"/>
      <c r="O316" s="137"/>
    </row>
    <row r="317" customHeight="1" spans="1:15">
      <c r="A317" s="7" t="s">
        <v>20</v>
      </c>
      <c r="B317" s="7" t="s">
        <v>228</v>
      </c>
      <c r="C317" s="8">
        <v>42</v>
      </c>
      <c r="D317" s="133">
        <v>44139</v>
      </c>
      <c r="E317" s="134">
        <v>90</v>
      </c>
      <c r="F317" s="134">
        <f t="shared" si="0"/>
        <v>3780</v>
      </c>
      <c r="G317" s="134">
        <v>0</v>
      </c>
      <c r="H317" s="134">
        <v>0</v>
      </c>
      <c r="I317" s="134">
        <v>0</v>
      </c>
      <c r="J317" s="138">
        <f t="shared" si="1"/>
        <v>3780</v>
      </c>
      <c r="K317" s="7" t="s">
        <v>230</v>
      </c>
      <c r="L317" s="45"/>
      <c r="M317" s="45"/>
      <c r="N317" s="137"/>
      <c r="O317" s="137"/>
    </row>
    <row r="318" customHeight="1" spans="1:15">
      <c r="A318" s="3" t="s">
        <v>129</v>
      </c>
      <c r="B318" s="3" t="s">
        <v>228</v>
      </c>
      <c r="C318" s="4">
        <v>30</v>
      </c>
      <c r="D318" s="131">
        <v>44134</v>
      </c>
      <c r="E318" s="132">
        <v>92.5</v>
      </c>
      <c r="F318" s="132">
        <f t="shared" si="0"/>
        <v>2775</v>
      </c>
      <c r="G318" s="132">
        <v>0.08</v>
      </c>
      <c r="H318" s="132">
        <f>ABS(0.0002749*E318*C318)</f>
        <v>0.7628475</v>
      </c>
      <c r="I318" s="67"/>
      <c r="J318" s="67">
        <f t="shared" si="1"/>
        <v>2775.8428475</v>
      </c>
      <c r="K318" s="3"/>
      <c r="L318" s="45"/>
      <c r="M318" s="45"/>
      <c r="N318" s="137"/>
      <c r="O318" s="137"/>
    </row>
    <row r="319" customHeight="1" spans="1:15">
      <c r="A319" s="7" t="s">
        <v>20</v>
      </c>
      <c r="B319" s="7" t="s">
        <v>228</v>
      </c>
      <c r="C319" s="8">
        <v>55</v>
      </c>
      <c r="D319" s="133">
        <v>44124</v>
      </c>
      <c r="E319" s="134">
        <v>90</v>
      </c>
      <c r="F319" s="134">
        <f t="shared" si="0"/>
        <v>4950</v>
      </c>
      <c r="G319" s="134">
        <v>0</v>
      </c>
      <c r="H319" s="134">
        <v>0</v>
      </c>
      <c r="I319" s="138"/>
      <c r="J319" s="138">
        <f t="shared" si="1"/>
        <v>4950</v>
      </c>
      <c r="K319" s="7" t="s">
        <v>230</v>
      </c>
      <c r="L319" s="45"/>
      <c r="M319" s="45"/>
      <c r="N319" s="137"/>
      <c r="O319" s="137"/>
    </row>
    <row r="320" customHeight="1" spans="1:15">
      <c r="A320" s="3" t="s">
        <v>39</v>
      </c>
      <c r="B320" s="3" t="s">
        <v>228</v>
      </c>
      <c r="C320" s="4">
        <v>27</v>
      </c>
      <c r="D320" s="131">
        <v>44120</v>
      </c>
      <c r="E320" s="132">
        <v>116.69</v>
      </c>
      <c r="F320" s="132">
        <f t="shared" si="0"/>
        <v>3150.63</v>
      </c>
      <c r="G320" s="132">
        <v>0</v>
      </c>
      <c r="H320" s="132">
        <v>0</v>
      </c>
      <c r="I320" s="67"/>
      <c r="J320" s="67">
        <f t="shared" si="1"/>
        <v>3150.63</v>
      </c>
      <c r="K320" s="3" t="s">
        <v>230</v>
      </c>
      <c r="L320" s="45"/>
      <c r="M320" s="45"/>
      <c r="N320" s="137"/>
      <c r="O320" s="137"/>
    </row>
    <row r="321" customHeight="1" spans="1:15">
      <c r="A321" s="7" t="s">
        <v>39</v>
      </c>
      <c r="B321" s="7" t="s">
        <v>228</v>
      </c>
      <c r="C321" s="8">
        <v>30</v>
      </c>
      <c r="D321" s="133">
        <v>44105</v>
      </c>
      <c r="E321" s="134">
        <v>116.69</v>
      </c>
      <c r="F321" s="134">
        <f t="shared" si="0"/>
        <v>3500.7</v>
      </c>
      <c r="G321" s="134">
        <v>0</v>
      </c>
      <c r="H321" s="134">
        <v>0</v>
      </c>
      <c r="I321" s="138"/>
      <c r="J321" s="138">
        <f t="shared" si="1"/>
        <v>3500.7</v>
      </c>
      <c r="K321" s="7" t="s">
        <v>230</v>
      </c>
      <c r="L321" s="45"/>
      <c r="M321" s="45"/>
      <c r="N321" s="137"/>
      <c r="O321" s="137"/>
    </row>
    <row r="322" customHeight="1" spans="1:15">
      <c r="A322" s="3" t="s">
        <v>20</v>
      </c>
      <c r="B322" s="3" t="s">
        <v>228</v>
      </c>
      <c r="C322" s="4">
        <v>35</v>
      </c>
      <c r="D322" s="131">
        <v>44106</v>
      </c>
      <c r="E322" s="132">
        <v>96.85</v>
      </c>
      <c r="F322" s="132">
        <f t="shared" si="0"/>
        <v>3389.75</v>
      </c>
      <c r="G322" s="132">
        <v>0.1</v>
      </c>
      <c r="H322" s="67">
        <f t="shared" ref="H322:H323" si="15">ABS(0.0002749*E322*C322)</f>
        <v>0.931842275</v>
      </c>
      <c r="I322" s="67"/>
      <c r="J322" s="67">
        <f t="shared" si="1"/>
        <v>3390.781842275</v>
      </c>
      <c r="K322" s="45"/>
      <c r="L322" s="45"/>
      <c r="M322" s="45"/>
      <c r="N322" s="137"/>
      <c r="O322" s="137"/>
    </row>
    <row r="323" customHeight="1" spans="1:15">
      <c r="A323" s="7" t="s">
        <v>129</v>
      </c>
      <c r="B323" s="7" t="s">
        <v>228</v>
      </c>
      <c r="C323" s="8">
        <v>30</v>
      </c>
      <c r="D323" s="133">
        <v>44106</v>
      </c>
      <c r="E323" s="134">
        <v>93.9</v>
      </c>
      <c r="F323" s="134">
        <f t="shared" si="0"/>
        <v>2817</v>
      </c>
      <c r="G323" s="134">
        <v>0.09</v>
      </c>
      <c r="H323" s="138">
        <f t="shared" si="15"/>
        <v>0.7743933</v>
      </c>
      <c r="I323" s="138"/>
      <c r="J323" s="138">
        <f t="shared" si="1"/>
        <v>2817.8643933</v>
      </c>
      <c r="K323" s="140"/>
      <c r="L323" s="45"/>
      <c r="M323" s="45"/>
      <c r="N323" s="137"/>
      <c r="O323" s="137"/>
    </row>
    <row r="324" customHeight="1" spans="1:15">
      <c r="A324" s="3" t="s">
        <v>119</v>
      </c>
      <c r="B324" s="3" t="s">
        <v>229</v>
      </c>
      <c r="C324" s="4">
        <v>-124</v>
      </c>
      <c r="D324" s="131">
        <v>44083</v>
      </c>
      <c r="E324" s="132">
        <v>112.5</v>
      </c>
      <c r="F324" s="132">
        <f t="shared" si="0"/>
        <v>-13950</v>
      </c>
      <c r="G324" s="132">
        <v>0.83</v>
      </c>
      <c r="H324" s="132">
        <v>4.31</v>
      </c>
      <c r="I324" s="132">
        <v>0.98</v>
      </c>
      <c r="J324" s="67">
        <f t="shared" si="1"/>
        <v>-13943.88</v>
      </c>
      <c r="K324" s="45"/>
      <c r="L324" s="45"/>
      <c r="M324" s="45"/>
      <c r="N324" s="137"/>
      <c r="O324" s="137"/>
    </row>
    <row r="325" customHeight="1" spans="1:15">
      <c r="A325" s="7" t="s">
        <v>119</v>
      </c>
      <c r="B325" s="7" t="s">
        <v>229</v>
      </c>
      <c r="C325" s="8">
        <v>-52</v>
      </c>
      <c r="D325" s="133">
        <v>44083</v>
      </c>
      <c r="E325" s="134">
        <v>112.34</v>
      </c>
      <c r="F325" s="134">
        <f t="shared" si="0"/>
        <v>-5841.68</v>
      </c>
      <c r="G325" s="134">
        <v>0.32</v>
      </c>
      <c r="H325" s="134">
        <v>1.13</v>
      </c>
      <c r="I325" s="138"/>
      <c r="J325" s="138">
        <f t="shared" si="1"/>
        <v>-5840.23</v>
      </c>
      <c r="K325" s="140"/>
      <c r="L325" s="45"/>
      <c r="M325" s="45"/>
      <c r="N325" s="137"/>
      <c r="O325" s="137"/>
    </row>
    <row r="326" customHeight="1" spans="1:15">
      <c r="A326" s="3" t="s">
        <v>18</v>
      </c>
      <c r="B326" s="3" t="s">
        <v>228</v>
      </c>
      <c r="C326" s="4">
        <v>150</v>
      </c>
      <c r="D326" s="131">
        <v>44084</v>
      </c>
      <c r="E326" s="132">
        <v>130.2</v>
      </c>
      <c r="F326" s="132">
        <f t="shared" si="0"/>
        <v>19530</v>
      </c>
      <c r="G326" s="132">
        <v>0.61</v>
      </c>
      <c r="H326" s="67">
        <f t="shared" ref="H326:H333" si="16">ABS(0.0002749*E326*C326)</f>
        <v>5.368797</v>
      </c>
      <c r="I326" s="67"/>
      <c r="J326" s="67">
        <f t="shared" si="1"/>
        <v>19535.978797</v>
      </c>
      <c r="K326" s="45"/>
      <c r="L326" s="45"/>
      <c r="M326" s="45"/>
      <c r="N326" s="137"/>
      <c r="O326" s="137"/>
    </row>
    <row r="327" customHeight="1" spans="1:15">
      <c r="A327" s="7" t="s">
        <v>18</v>
      </c>
      <c r="B327" s="7" t="s">
        <v>228</v>
      </c>
      <c r="C327" s="8">
        <v>40</v>
      </c>
      <c r="D327" s="133">
        <v>44085</v>
      </c>
      <c r="E327" s="134">
        <v>130.22</v>
      </c>
      <c r="F327" s="134">
        <f t="shared" si="0"/>
        <v>5208.8</v>
      </c>
      <c r="G327" s="138">
        <f t="shared" ref="G327:G332" si="17">ABS(0.00004316*E327*C327)</f>
        <v>0.224811808</v>
      </c>
      <c r="H327" s="138">
        <f t="shared" si="16"/>
        <v>1.43189912</v>
      </c>
      <c r="I327" s="138"/>
      <c r="J327" s="138">
        <f t="shared" si="1"/>
        <v>5210.456710928</v>
      </c>
      <c r="K327" s="140"/>
      <c r="L327" s="45"/>
      <c r="M327" s="45"/>
      <c r="N327" s="137"/>
      <c r="O327" s="137"/>
    </row>
    <row r="328" customHeight="1" spans="1:15">
      <c r="A328" s="3" t="s">
        <v>146</v>
      </c>
      <c r="B328" s="3" t="s">
        <v>228</v>
      </c>
      <c r="C328" s="4">
        <v>10</v>
      </c>
      <c r="D328" s="131">
        <v>44085</v>
      </c>
      <c r="E328" s="132">
        <v>97.45</v>
      </c>
      <c r="F328" s="132">
        <f t="shared" si="0"/>
        <v>974.5</v>
      </c>
      <c r="G328" s="67">
        <f t="shared" si="17"/>
        <v>0.04205942</v>
      </c>
      <c r="H328" s="67">
        <f t="shared" si="16"/>
        <v>0.26789005</v>
      </c>
      <c r="I328" s="67"/>
      <c r="J328" s="67">
        <f t="shared" si="1"/>
        <v>974.80994947</v>
      </c>
      <c r="K328" s="45"/>
      <c r="L328" s="45"/>
      <c r="M328" s="45"/>
      <c r="N328" s="137"/>
      <c r="O328" s="137"/>
    </row>
    <row r="329" customHeight="1" spans="1:15">
      <c r="A329" s="7" t="s">
        <v>146</v>
      </c>
      <c r="B329" s="7" t="s">
        <v>228</v>
      </c>
      <c r="C329" s="8">
        <v>40</v>
      </c>
      <c r="D329" s="133">
        <v>44085</v>
      </c>
      <c r="E329" s="134">
        <v>97.4</v>
      </c>
      <c r="F329" s="134">
        <f t="shared" si="0"/>
        <v>3896</v>
      </c>
      <c r="G329" s="138">
        <f t="shared" si="17"/>
        <v>0.16815136</v>
      </c>
      <c r="H329" s="138">
        <f t="shared" si="16"/>
        <v>1.0710104</v>
      </c>
      <c r="I329" s="138"/>
      <c r="J329" s="138">
        <f t="shared" si="1"/>
        <v>3897.23916176</v>
      </c>
      <c r="K329" s="140"/>
      <c r="L329" s="45"/>
      <c r="M329" s="45"/>
      <c r="N329" s="137"/>
      <c r="O329" s="137"/>
    </row>
    <row r="330" customHeight="1" spans="1:15">
      <c r="A330" s="3" t="s">
        <v>146</v>
      </c>
      <c r="B330" s="3" t="s">
        <v>228</v>
      </c>
      <c r="C330" s="4">
        <v>13</v>
      </c>
      <c r="D330" s="131">
        <v>44085</v>
      </c>
      <c r="E330" s="132">
        <v>97.39</v>
      </c>
      <c r="F330" s="132">
        <f t="shared" si="0"/>
        <v>1266.07</v>
      </c>
      <c r="G330" s="67">
        <f t="shared" si="17"/>
        <v>0.0546435812</v>
      </c>
      <c r="H330" s="67">
        <f t="shared" si="16"/>
        <v>0.348042643</v>
      </c>
      <c r="I330" s="67"/>
      <c r="J330" s="67">
        <f t="shared" si="1"/>
        <v>1266.4726862242</v>
      </c>
      <c r="K330" s="45"/>
      <c r="L330" s="45"/>
      <c r="M330" s="45"/>
      <c r="N330" s="137"/>
      <c r="O330" s="137"/>
    </row>
    <row r="331" customHeight="1" spans="1:15">
      <c r="A331" s="7" t="s">
        <v>146</v>
      </c>
      <c r="B331" s="7" t="s">
        <v>228</v>
      </c>
      <c r="C331" s="8">
        <v>12</v>
      </c>
      <c r="D331" s="133">
        <v>44085</v>
      </c>
      <c r="E331" s="134">
        <v>97.48</v>
      </c>
      <c r="F331" s="134">
        <f t="shared" si="0"/>
        <v>1169.76</v>
      </c>
      <c r="G331" s="138">
        <f t="shared" si="17"/>
        <v>0.0504868416</v>
      </c>
      <c r="H331" s="138">
        <f t="shared" si="16"/>
        <v>0.321567024</v>
      </c>
      <c r="I331" s="138"/>
      <c r="J331" s="138">
        <f t="shared" si="1"/>
        <v>1170.1320538656</v>
      </c>
      <c r="K331" s="140"/>
      <c r="L331" s="45"/>
      <c r="M331" s="45"/>
      <c r="N331" s="137"/>
      <c r="O331" s="137"/>
    </row>
    <row r="332" customHeight="1" spans="1:15">
      <c r="A332" s="3" t="s">
        <v>114</v>
      </c>
      <c r="B332" s="3" t="s">
        <v>229</v>
      </c>
      <c r="C332" s="4">
        <v>-3</v>
      </c>
      <c r="D332" s="131">
        <v>44085</v>
      </c>
      <c r="E332" s="132">
        <v>92.74</v>
      </c>
      <c r="F332" s="132">
        <f t="shared" si="0"/>
        <v>-278.22</v>
      </c>
      <c r="G332" s="67">
        <f t="shared" si="17"/>
        <v>0.0120079752</v>
      </c>
      <c r="H332" s="67">
        <f t="shared" si="16"/>
        <v>0.076482678</v>
      </c>
      <c r="I332" s="67"/>
      <c r="J332" s="67">
        <f t="shared" si="1"/>
        <v>-278.1315093468</v>
      </c>
      <c r="K332" s="45"/>
      <c r="L332" s="45"/>
      <c r="M332" s="45"/>
      <c r="N332" s="137"/>
      <c r="O332" s="137"/>
    </row>
    <row r="333" customHeight="1" spans="1:15">
      <c r="A333" s="7" t="s">
        <v>114</v>
      </c>
      <c r="B333" s="7" t="s">
        <v>229</v>
      </c>
      <c r="C333" s="8">
        <v>-46</v>
      </c>
      <c r="D333" s="133">
        <v>44085</v>
      </c>
      <c r="E333" s="134">
        <v>92.71</v>
      </c>
      <c r="F333" s="134">
        <f t="shared" si="0"/>
        <v>-4264.66</v>
      </c>
      <c r="G333" s="134">
        <v>0.13</v>
      </c>
      <c r="H333" s="138">
        <f t="shared" si="16"/>
        <v>1.172355034</v>
      </c>
      <c r="I333" s="134">
        <v>0.6</v>
      </c>
      <c r="J333" s="138">
        <f t="shared" si="1"/>
        <v>-4262.757644966</v>
      </c>
      <c r="K333" s="140"/>
      <c r="L333" s="45"/>
      <c r="M333" s="45"/>
      <c r="N333" s="137"/>
      <c r="O333" s="137"/>
    </row>
    <row r="334" customHeight="1" spans="1:15">
      <c r="A334" s="3" t="s">
        <v>114</v>
      </c>
      <c r="B334" s="3" t="s">
        <v>229</v>
      </c>
      <c r="C334" s="4">
        <v>-34</v>
      </c>
      <c r="D334" s="131">
        <v>44085</v>
      </c>
      <c r="E334" s="132">
        <v>92.68</v>
      </c>
      <c r="F334" s="132">
        <f t="shared" si="0"/>
        <v>-3151.12</v>
      </c>
      <c r="G334" s="132">
        <v>0.1</v>
      </c>
      <c r="H334" s="132">
        <v>0.87</v>
      </c>
      <c r="I334" s="67"/>
      <c r="J334" s="67">
        <f t="shared" si="1"/>
        <v>-3150.15</v>
      </c>
      <c r="K334" s="45"/>
      <c r="L334" s="45"/>
      <c r="M334" s="45"/>
      <c r="N334" s="137"/>
      <c r="O334" s="137"/>
    </row>
    <row r="335" customHeight="1" spans="1:15">
      <c r="A335" s="7" t="s">
        <v>114</v>
      </c>
      <c r="B335" s="7" t="s">
        <v>229</v>
      </c>
      <c r="C335" s="8">
        <v>-1</v>
      </c>
      <c r="D335" s="133">
        <v>44085</v>
      </c>
      <c r="E335" s="134">
        <v>92.79</v>
      </c>
      <c r="F335" s="134">
        <f t="shared" si="0"/>
        <v>-92.79</v>
      </c>
      <c r="G335" s="138">
        <f>ABS(0.00004316*E335*C335)</f>
        <v>0.0040048164</v>
      </c>
      <c r="H335" s="134">
        <v>0.04</v>
      </c>
      <c r="I335" s="138"/>
      <c r="J335" s="138">
        <f t="shared" si="1"/>
        <v>-92.7459951836</v>
      </c>
      <c r="K335" s="140"/>
      <c r="L335" s="45"/>
      <c r="M335" s="45"/>
      <c r="N335" s="137"/>
      <c r="O335" s="137"/>
    </row>
    <row r="336" customHeight="1" spans="1:15">
      <c r="A336" s="3" t="s">
        <v>114</v>
      </c>
      <c r="B336" s="3" t="s">
        <v>229</v>
      </c>
      <c r="C336" s="4">
        <v>-46</v>
      </c>
      <c r="D336" s="131">
        <v>44085</v>
      </c>
      <c r="E336" s="132">
        <v>92.66</v>
      </c>
      <c r="F336" s="132">
        <f t="shared" si="0"/>
        <v>-4262.36</v>
      </c>
      <c r="G336" s="132">
        <v>0.13</v>
      </c>
      <c r="H336" s="132">
        <v>1.15</v>
      </c>
      <c r="I336" s="67"/>
      <c r="J336" s="67">
        <f t="shared" si="1"/>
        <v>-4261.08</v>
      </c>
      <c r="K336" s="45"/>
      <c r="L336" s="45"/>
      <c r="M336" s="45"/>
      <c r="N336" s="137"/>
      <c r="O336" s="137"/>
    </row>
    <row r="337" customHeight="1" spans="1:15">
      <c r="A337" s="7" t="s">
        <v>39</v>
      </c>
      <c r="B337" s="7" t="s">
        <v>228</v>
      </c>
      <c r="C337" s="8">
        <v>60</v>
      </c>
      <c r="D337" s="133">
        <v>44088</v>
      </c>
      <c r="E337" s="134">
        <v>126.75</v>
      </c>
      <c r="F337" s="134">
        <f t="shared" si="0"/>
        <v>7605</v>
      </c>
      <c r="G337" s="134">
        <v>0.24</v>
      </c>
      <c r="H337" s="138">
        <f t="shared" ref="H337:H352" si="18">ABS(0.0002749*E337*C337)</f>
        <v>2.0906145</v>
      </c>
      <c r="I337" s="138"/>
      <c r="J337" s="138">
        <f t="shared" si="1"/>
        <v>7607.3306145</v>
      </c>
      <c r="K337" s="140"/>
      <c r="L337" s="45"/>
      <c r="M337" s="45"/>
      <c r="N337" s="137"/>
      <c r="O337" s="137"/>
    </row>
    <row r="338" customHeight="1" spans="1:15">
      <c r="A338" s="3" t="s">
        <v>21</v>
      </c>
      <c r="B338" s="3" t="s">
        <v>229</v>
      </c>
      <c r="C338" s="4">
        <v>-19</v>
      </c>
      <c r="D338" s="131">
        <v>44088</v>
      </c>
      <c r="E338" s="132">
        <v>153.6</v>
      </c>
      <c r="F338" s="132">
        <f t="shared" si="0"/>
        <v>-2918.4</v>
      </c>
      <c r="G338" s="132">
        <v>0.07</v>
      </c>
      <c r="H338" s="67">
        <f t="shared" si="18"/>
        <v>0.80226816</v>
      </c>
      <c r="I338" s="132">
        <v>0.42</v>
      </c>
      <c r="J338" s="67">
        <f t="shared" si="1"/>
        <v>-2917.10773184</v>
      </c>
      <c r="K338" s="45"/>
      <c r="L338" s="45"/>
      <c r="M338" s="45"/>
      <c r="N338" s="137"/>
      <c r="O338" s="137"/>
    </row>
    <row r="339" customHeight="1" spans="1:15">
      <c r="A339" s="7" t="s">
        <v>21</v>
      </c>
      <c r="B339" s="7" t="s">
        <v>229</v>
      </c>
      <c r="C339" s="8">
        <v>-36</v>
      </c>
      <c r="D339" s="133">
        <v>44088</v>
      </c>
      <c r="E339" s="134">
        <v>153.61</v>
      </c>
      <c r="F339" s="134">
        <f t="shared" si="0"/>
        <v>-5529.96</v>
      </c>
      <c r="G339" s="134">
        <v>0.19</v>
      </c>
      <c r="H339" s="138">
        <f t="shared" si="18"/>
        <v>1.520186004</v>
      </c>
      <c r="I339" s="138"/>
      <c r="J339" s="138">
        <f t="shared" si="1"/>
        <v>-5528.249813996</v>
      </c>
      <c r="K339" s="140"/>
      <c r="L339" s="45"/>
      <c r="M339" s="45"/>
      <c r="N339" s="137"/>
      <c r="O339" s="137"/>
    </row>
    <row r="340" customHeight="1" spans="1:15">
      <c r="A340" s="3" t="s">
        <v>39</v>
      </c>
      <c r="B340" s="3" t="s">
        <v>228</v>
      </c>
      <c r="C340" s="4">
        <v>20</v>
      </c>
      <c r="D340" s="131">
        <v>44089</v>
      </c>
      <c r="E340" s="132">
        <v>125.52</v>
      </c>
      <c r="F340" s="132">
        <f t="shared" si="0"/>
        <v>2510.4</v>
      </c>
      <c r="G340" s="132">
        <v>0.07</v>
      </c>
      <c r="H340" s="67">
        <f t="shared" si="18"/>
        <v>0.69010896</v>
      </c>
      <c r="I340" s="67"/>
      <c r="J340" s="67">
        <f t="shared" si="1"/>
        <v>2511.16010896</v>
      </c>
      <c r="K340" s="45"/>
      <c r="L340" s="45"/>
      <c r="M340" s="45"/>
      <c r="N340" s="137"/>
      <c r="O340" s="137"/>
    </row>
    <row r="341" customHeight="1" spans="1:15">
      <c r="A341" s="7" t="s">
        <v>39</v>
      </c>
      <c r="B341" s="7" t="s">
        <v>228</v>
      </c>
      <c r="C341" s="8">
        <v>30</v>
      </c>
      <c r="D341" s="133">
        <v>44099</v>
      </c>
      <c r="E341" s="134">
        <v>127.05</v>
      </c>
      <c r="F341" s="134">
        <f t="shared" si="0"/>
        <v>3811.5</v>
      </c>
      <c r="G341" s="134">
        <v>0.12</v>
      </c>
      <c r="H341" s="138">
        <f t="shared" si="18"/>
        <v>1.04778135</v>
      </c>
      <c r="I341" s="138"/>
      <c r="J341" s="138">
        <f t="shared" si="1"/>
        <v>3812.66778135</v>
      </c>
      <c r="K341" s="140"/>
      <c r="L341" s="45"/>
      <c r="M341" s="45"/>
      <c r="N341" s="137"/>
      <c r="O341" s="137"/>
    </row>
    <row r="342" customHeight="1" spans="1:15">
      <c r="A342" s="3" t="s">
        <v>114</v>
      </c>
      <c r="B342" s="3" t="s">
        <v>229</v>
      </c>
      <c r="C342" s="4">
        <v>-210</v>
      </c>
      <c r="D342" s="131">
        <v>44099</v>
      </c>
      <c r="E342" s="132">
        <v>92.2</v>
      </c>
      <c r="F342" s="132">
        <f t="shared" si="0"/>
        <v>-19362</v>
      </c>
      <c r="G342" s="132">
        <v>0.6</v>
      </c>
      <c r="H342" s="67">
        <f t="shared" si="18"/>
        <v>5.3226138</v>
      </c>
      <c r="I342" s="132">
        <v>0.96</v>
      </c>
      <c r="J342" s="67">
        <f t="shared" si="1"/>
        <v>-19355.1173862</v>
      </c>
      <c r="K342" s="45"/>
      <c r="L342" s="45"/>
      <c r="M342" s="45"/>
      <c r="N342" s="137"/>
      <c r="O342" s="137"/>
    </row>
    <row r="343" customHeight="1" spans="1:15">
      <c r="A343" s="7" t="s">
        <v>20</v>
      </c>
      <c r="B343" s="7" t="s">
        <v>228</v>
      </c>
      <c r="C343" s="8">
        <v>90</v>
      </c>
      <c r="D343" s="133">
        <v>44099</v>
      </c>
      <c r="E343" s="134">
        <v>101.87</v>
      </c>
      <c r="F343" s="134">
        <f t="shared" si="0"/>
        <v>9168.3</v>
      </c>
      <c r="G343" s="134">
        <v>0.29</v>
      </c>
      <c r="H343" s="138">
        <f t="shared" si="18"/>
        <v>2.52036567</v>
      </c>
      <c r="I343" s="138"/>
      <c r="J343" s="138">
        <f t="shared" si="1"/>
        <v>9171.11036567</v>
      </c>
      <c r="K343" s="140"/>
      <c r="L343" s="45"/>
      <c r="M343" s="45"/>
      <c r="N343" s="137"/>
      <c r="O343" s="137"/>
    </row>
    <row r="344" customHeight="1" spans="1:15">
      <c r="A344" s="3" t="s">
        <v>20</v>
      </c>
      <c r="B344" s="3" t="s">
        <v>228</v>
      </c>
      <c r="C344" s="4">
        <v>40</v>
      </c>
      <c r="D344" s="131">
        <v>44099</v>
      </c>
      <c r="E344" s="132">
        <v>101.94</v>
      </c>
      <c r="F344" s="132">
        <f t="shared" si="0"/>
        <v>4077.6</v>
      </c>
      <c r="G344" s="132">
        <v>0.12</v>
      </c>
      <c r="H344" s="67">
        <f t="shared" si="18"/>
        <v>1.12093224</v>
      </c>
      <c r="I344" s="67"/>
      <c r="J344" s="67">
        <f t="shared" si="1"/>
        <v>4078.84093224</v>
      </c>
      <c r="K344" s="45"/>
      <c r="L344" s="45"/>
      <c r="M344" s="45"/>
      <c r="N344" s="137"/>
      <c r="O344" s="137"/>
    </row>
    <row r="345" customHeight="1" spans="1:15">
      <c r="A345" s="7" t="s">
        <v>20</v>
      </c>
      <c r="B345" s="7" t="s">
        <v>228</v>
      </c>
      <c r="C345" s="8">
        <v>50</v>
      </c>
      <c r="D345" s="133">
        <v>44099</v>
      </c>
      <c r="E345" s="134">
        <v>101.98</v>
      </c>
      <c r="F345" s="134">
        <f t="shared" si="0"/>
        <v>5099</v>
      </c>
      <c r="G345" s="134">
        <v>0.16</v>
      </c>
      <c r="H345" s="138">
        <f t="shared" si="18"/>
        <v>1.4017151</v>
      </c>
      <c r="I345" s="138"/>
      <c r="J345" s="138">
        <f t="shared" si="1"/>
        <v>5100.5617151</v>
      </c>
      <c r="K345" s="140"/>
      <c r="L345" s="45"/>
      <c r="M345" s="45"/>
      <c r="N345" s="137"/>
      <c r="O345" s="137"/>
    </row>
    <row r="346" customHeight="1" spans="1:15">
      <c r="A346" s="3" t="s">
        <v>18</v>
      </c>
      <c r="B346" s="3" t="s">
        <v>228</v>
      </c>
      <c r="C346" s="4">
        <v>10</v>
      </c>
      <c r="D346" s="131">
        <v>44099</v>
      </c>
      <c r="E346" s="132">
        <v>130.89</v>
      </c>
      <c r="F346" s="132">
        <f t="shared" si="0"/>
        <v>1308.9</v>
      </c>
      <c r="G346" s="132">
        <v>0.04</v>
      </c>
      <c r="H346" s="67">
        <f t="shared" si="18"/>
        <v>0.35981661</v>
      </c>
      <c r="I346" s="67"/>
      <c r="J346" s="67">
        <f t="shared" si="1"/>
        <v>1309.29981661</v>
      </c>
      <c r="K346" s="45"/>
      <c r="L346" s="45"/>
      <c r="M346" s="45"/>
      <c r="N346" s="137"/>
      <c r="O346" s="137"/>
    </row>
    <row r="347" customHeight="1" spans="1:15">
      <c r="A347" s="7" t="s">
        <v>133</v>
      </c>
      <c r="B347" s="7" t="s">
        <v>228</v>
      </c>
      <c r="C347" s="8">
        <v>20</v>
      </c>
      <c r="D347" s="133">
        <v>44099</v>
      </c>
      <c r="E347" s="134">
        <v>118</v>
      </c>
      <c r="F347" s="134">
        <f t="shared" si="0"/>
        <v>2360</v>
      </c>
      <c r="G347" s="134">
        <v>0.07</v>
      </c>
      <c r="H347" s="138">
        <f t="shared" si="18"/>
        <v>0.648764</v>
      </c>
      <c r="I347" s="138"/>
      <c r="J347" s="138">
        <f t="shared" si="1"/>
        <v>2360.718764</v>
      </c>
      <c r="K347" s="140"/>
      <c r="L347" s="45"/>
      <c r="M347" s="45"/>
      <c r="N347" s="137"/>
      <c r="O347" s="137"/>
    </row>
    <row r="348" customHeight="1" spans="1:15">
      <c r="A348" s="3" t="s">
        <v>149</v>
      </c>
      <c r="B348" s="3" t="s">
        <v>229</v>
      </c>
      <c r="C348" s="4">
        <v>-70</v>
      </c>
      <c r="D348" s="131">
        <v>44099</v>
      </c>
      <c r="E348" s="132">
        <v>119.5</v>
      </c>
      <c r="F348" s="132">
        <f t="shared" si="0"/>
        <v>-8365</v>
      </c>
      <c r="G348" s="67">
        <f>ABS(0.00004316*E348*C348)</f>
        <v>0.3610334</v>
      </c>
      <c r="H348" s="67">
        <f t="shared" si="18"/>
        <v>2.2995385</v>
      </c>
      <c r="I348" s="132">
        <v>0.42</v>
      </c>
      <c r="J348" s="67">
        <f t="shared" si="1"/>
        <v>-8361.9194281</v>
      </c>
      <c r="K348" s="45"/>
      <c r="L348" s="45"/>
      <c r="M348" s="45"/>
      <c r="N348" s="137"/>
      <c r="O348" s="137"/>
    </row>
    <row r="349" customHeight="1" spans="1:15">
      <c r="A349" s="7" t="s">
        <v>231</v>
      </c>
      <c r="B349" s="7" t="s">
        <v>229</v>
      </c>
      <c r="C349" s="8">
        <v>-15</v>
      </c>
      <c r="D349" s="133">
        <v>44102</v>
      </c>
      <c r="E349" s="134">
        <v>129.63</v>
      </c>
      <c r="F349" s="134">
        <f t="shared" si="0"/>
        <v>-1944.45</v>
      </c>
      <c r="G349" s="134">
        <v>0.06</v>
      </c>
      <c r="H349" s="138">
        <f t="shared" si="18"/>
        <v>0.534529305</v>
      </c>
      <c r="I349" s="134">
        <v>0.09</v>
      </c>
      <c r="J349" s="138">
        <f t="shared" si="1"/>
        <v>-1943.765470695</v>
      </c>
      <c r="K349" s="140"/>
      <c r="L349" s="45"/>
      <c r="M349" s="45"/>
      <c r="N349" s="137"/>
      <c r="O349" s="137"/>
    </row>
    <row r="350" customHeight="1" spans="1:15">
      <c r="A350" s="3" t="s">
        <v>22</v>
      </c>
      <c r="B350" s="3" t="s">
        <v>228</v>
      </c>
      <c r="C350" s="4">
        <v>30</v>
      </c>
      <c r="D350" s="131">
        <v>44103</v>
      </c>
      <c r="E350" s="132">
        <v>126.65</v>
      </c>
      <c r="F350" s="132">
        <f t="shared" si="0"/>
        <v>3799.5</v>
      </c>
      <c r="G350" s="132">
        <v>0.12</v>
      </c>
      <c r="H350" s="67">
        <f t="shared" si="18"/>
        <v>1.04448255</v>
      </c>
      <c r="I350" s="67"/>
      <c r="J350" s="67">
        <f t="shared" si="1"/>
        <v>3800.66448255</v>
      </c>
      <c r="K350" s="45"/>
      <c r="L350" s="45"/>
      <c r="M350" s="45"/>
      <c r="N350" s="137"/>
      <c r="O350" s="137"/>
    </row>
    <row r="351" customHeight="1" spans="1:15">
      <c r="A351" s="7" t="s">
        <v>35</v>
      </c>
      <c r="B351" s="7" t="s">
        <v>228</v>
      </c>
      <c r="C351" s="8">
        <v>20</v>
      </c>
      <c r="D351" s="133">
        <v>44103</v>
      </c>
      <c r="E351" s="134">
        <v>163.4</v>
      </c>
      <c r="F351" s="134">
        <f t="shared" si="0"/>
        <v>3268</v>
      </c>
      <c r="G351" s="134">
        <v>0.1</v>
      </c>
      <c r="H351" s="138">
        <f t="shared" si="18"/>
        <v>0.8983732</v>
      </c>
      <c r="I351" s="138"/>
      <c r="J351" s="138">
        <f t="shared" si="1"/>
        <v>3268.9983732</v>
      </c>
      <c r="K351" s="140"/>
      <c r="L351" s="45"/>
      <c r="M351" s="45"/>
      <c r="N351" s="137"/>
      <c r="O351" s="137"/>
    </row>
    <row r="352" customHeight="1" spans="1:15">
      <c r="A352" s="3" t="s">
        <v>129</v>
      </c>
      <c r="B352" s="3" t="s">
        <v>228</v>
      </c>
      <c r="C352" s="4">
        <v>75</v>
      </c>
      <c r="D352" s="131">
        <v>44104</v>
      </c>
      <c r="E352" s="132">
        <v>93.17</v>
      </c>
      <c r="F352" s="132">
        <f t="shared" si="0"/>
        <v>6987.75</v>
      </c>
      <c r="G352" s="132">
        <v>0.21</v>
      </c>
      <c r="H352" s="67">
        <f t="shared" si="18"/>
        <v>1.920932475</v>
      </c>
      <c r="I352" s="67"/>
      <c r="J352" s="67">
        <f t="shared" si="1"/>
        <v>6989.880932475</v>
      </c>
      <c r="K352" s="45"/>
      <c r="L352" s="45"/>
      <c r="M352" s="45"/>
      <c r="N352" s="137"/>
      <c r="O352" s="137"/>
    </row>
    <row r="353" customHeight="1" spans="1:15">
      <c r="A353" s="7" t="s">
        <v>13</v>
      </c>
      <c r="B353" s="7" t="s">
        <v>228</v>
      </c>
      <c r="C353" s="8">
        <v>67</v>
      </c>
      <c r="D353" s="133">
        <v>44090</v>
      </c>
      <c r="E353" s="134">
        <v>118</v>
      </c>
      <c r="F353" s="134">
        <f t="shared" si="0"/>
        <v>7906</v>
      </c>
      <c r="G353" s="134">
        <v>0</v>
      </c>
      <c r="H353" s="134">
        <v>0</v>
      </c>
      <c r="I353" s="138"/>
      <c r="J353" s="138">
        <f t="shared" si="1"/>
        <v>7906</v>
      </c>
      <c r="K353" s="7" t="s">
        <v>230</v>
      </c>
      <c r="L353" s="45"/>
      <c r="M353" s="45"/>
      <c r="N353" s="137"/>
      <c r="O353" s="137"/>
    </row>
    <row r="354" customHeight="1" spans="1:15">
      <c r="A354" s="3" t="s">
        <v>153</v>
      </c>
      <c r="B354" s="3" t="s">
        <v>229</v>
      </c>
      <c r="C354" s="4">
        <v>-45</v>
      </c>
      <c r="D354" s="131">
        <v>44049</v>
      </c>
      <c r="E354" s="132">
        <v>135.99</v>
      </c>
      <c r="F354" s="132">
        <f t="shared" si="0"/>
        <v>-6119.55</v>
      </c>
      <c r="G354" s="132">
        <v>0.19</v>
      </c>
      <c r="H354" s="67">
        <f>ABS(0.0002749*E354*C354)</f>
        <v>1.682264295</v>
      </c>
      <c r="I354" s="132">
        <v>0.3</v>
      </c>
      <c r="J354" s="67">
        <f t="shared" si="1"/>
        <v>-6117.377735705</v>
      </c>
      <c r="K354" s="45"/>
      <c r="L354" s="45"/>
      <c r="M354" s="45"/>
      <c r="N354" s="137"/>
      <c r="O354" s="137"/>
    </row>
    <row r="355" customHeight="1" spans="1:15">
      <c r="A355" s="7" t="s">
        <v>149</v>
      </c>
      <c r="B355" s="7" t="s">
        <v>228</v>
      </c>
      <c r="C355" s="8">
        <v>70</v>
      </c>
      <c r="D355" s="133">
        <v>44049</v>
      </c>
      <c r="E355" s="134">
        <v>121.35</v>
      </c>
      <c r="F355" s="134">
        <f t="shared" si="0"/>
        <v>8494.5</v>
      </c>
      <c r="G355" s="134">
        <v>0.27</v>
      </c>
      <c r="H355" s="134">
        <v>2.33</v>
      </c>
      <c r="I355" s="138"/>
      <c r="J355" s="138">
        <f t="shared" si="1"/>
        <v>8497.1</v>
      </c>
      <c r="K355" s="140"/>
      <c r="L355" s="45"/>
      <c r="M355" s="45"/>
      <c r="N355" s="137"/>
      <c r="O355" s="137"/>
    </row>
    <row r="356" customHeight="1" spans="1:15">
      <c r="A356" s="3" t="s">
        <v>28</v>
      </c>
      <c r="B356" s="3" t="s">
        <v>228</v>
      </c>
      <c r="C356" s="4">
        <v>1000</v>
      </c>
      <c r="D356" s="131">
        <v>44064</v>
      </c>
      <c r="E356" s="132">
        <f>57.5/5</f>
        <v>11.5</v>
      </c>
      <c r="F356" s="132">
        <f t="shared" si="0"/>
        <v>11500</v>
      </c>
      <c r="G356" s="132">
        <v>0.37</v>
      </c>
      <c r="H356" s="67">
        <f>ABS(0.0002749*E356*C356)</f>
        <v>3.16135</v>
      </c>
      <c r="I356" s="67"/>
      <c r="J356" s="67">
        <f t="shared" si="1"/>
        <v>11503.53135</v>
      </c>
      <c r="K356" s="45"/>
      <c r="L356" s="45"/>
      <c r="M356" s="45"/>
      <c r="N356" s="137"/>
      <c r="O356" s="137"/>
    </row>
    <row r="357" customHeight="1" spans="1:15">
      <c r="A357" s="7" t="s">
        <v>28</v>
      </c>
      <c r="B357" s="7" t="s">
        <v>228</v>
      </c>
      <c r="C357" s="8">
        <v>1000</v>
      </c>
      <c r="D357" s="133">
        <v>44064</v>
      </c>
      <c r="E357" s="134">
        <f>57.39/5</f>
        <v>11.478</v>
      </c>
      <c r="F357" s="134">
        <f t="shared" si="0"/>
        <v>11478</v>
      </c>
      <c r="G357" s="134">
        <v>0.36</v>
      </c>
      <c r="H357" s="134">
        <v>3.15</v>
      </c>
      <c r="I357" s="138"/>
      <c r="J357" s="138">
        <f t="shared" si="1"/>
        <v>11481.51</v>
      </c>
      <c r="K357" s="140"/>
      <c r="L357" s="45"/>
      <c r="M357" s="45"/>
      <c r="N357" s="137"/>
      <c r="O357" s="137"/>
    </row>
    <row r="358" customHeight="1" spans="1:15">
      <c r="A358" s="3" t="s">
        <v>156</v>
      </c>
      <c r="B358" s="3" t="s">
        <v>229</v>
      </c>
      <c r="C358" s="4">
        <v>-160</v>
      </c>
      <c r="D358" s="131">
        <v>44069</v>
      </c>
      <c r="E358" s="132">
        <v>102.95</v>
      </c>
      <c r="F358" s="132">
        <f t="shared" si="0"/>
        <v>-16472</v>
      </c>
      <c r="G358" s="132">
        <v>0.52</v>
      </c>
      <c r="H358" s="67">
        <f t="shared" ref="H358:H362" si="19">ABS(0.0002749*E358*C358)</f>
        <v>4.5281528</v>
      </c>
      <c r="I358" s="132">
        <v>0.82</v>
      </c>
      <c r="J358" s="67">
        <f t="shared" si="1"/>
        <v>-16466.1318472</v>
      </c>
      <c r="K358" s="45"/>
      <c r="L358" s="45"/>
      <c r="M358" s="45"/>
      <c r="N358" s="137"/>
      <c r="O358" s="137"/>
    </row>
    <row r="359" customHeight="1" spans="1:15">
      <c r="A359" s="7" t="s">
        <v>24</v>
      </c>
      <c r="B359" s="7" t="s">
        <v>228</v>
      </c>
      <c r="C359" s="8">
        <v>175</v>
      </c>
      <c r="D359" s="133">
        <v>44069</v>
      </c>
      <c r="E359" s="134">
        <v>100.01</v>
      </c>
      <c r="F359" s="134">
        <f t="shared" si="0"/>
        <v>17501.75</v>
      </c>
      <c r="G359" s="134">
        <v>0.61</v>
      </c>
      <c r="H359" s="138">
        <f t="shared" si="19"/>
        <v>4.811231075</v>
      </c>
      <c r="I359" s="138"/>
      <c r="J359" s="138">
        <f t="shared" si="1"/>
        <v>17507.171231075</v>
      </c>
      <c r="K359" s="140"/>
      <c r="L359" s="45"/>
      <c r="M359" s="45"/>
      <c r="N359" s="137"/>
      <c r="O359" s="137"/>
    </row>
    <row r="360" customHeight="1" spans="1:15">
      <c r="A360" s="3" t="s">
        <v>24</v>
      </c>
      <c r="B360" s="3" t="s">
        <v>228</v>
      </c>
      <c r="C360" s="4">
        <v>80</v>
      </c>
      <c r="D360" s="131">
        <v>44069</v>
      </c>
      <c r="E360" s="132">
        <v>99.95</v>
      </c>
      <c r="F360" s="132">
        <f t="shared" si="0"/>
        <v>7996</v>
      </c>
      <c r="G360" s="132">
        <v>0.2</v>
      </c>
      <c r="H360" s="67">
        <f t="shared" si="19"/>
        <v>2.1981004</v>
      </c>
      <c r="I360" s="67"/>
      <c r="J360" s="67">
        <f t="shared" si="1"/>
        <v>7998.3981004</v>
      </c>
      <c r="K360" s="45"/>
      <c r="L360" s="45"/>
      <c r="M360" s="45"/>
      <c r="N360" s="137"/>
      <c r="O360" s="137"/>
    </row>
    <row r="361" customHeight="1" spans="1:15">
      <c r="A361" s="7" t="s">
        <v>28</v>
      </c>
      <c r="B361" s="7" t="s">
        <v>228</v>
      </c>
      <c r="C361" s="8">
        <v>500</v>
      </c>
      <c r="D361" s="133">
        <v>44069</v>
      </c>
      <c r="E361" s="134">
        <f>57.48/5</f>
        <v>11.496</v>
      </c>
      <c r="F361" s="134">
        <f t="shared" si="0"/>
        <v>5748</v>
      </c>
      <c r="G361" s="134">
        <v>0.18</v>
      </c>
      <c r="H361" s="138">
        <f t="shared" si="19"/>
        <v>1.5801252</v>
      </c>
      <c r="I361" s="138"/>
      <c r="J361" s="138">
        <f t="shared" si="1"/>
        <v>5749.7601252</v>
      </c>
      <c r="K361" s="140"/>
      <c r="L361" s="45"/>
      <c r="M361" s="45"/>
      <c r="N361" s="137"/>
      <c r="O361" s="137"/>
    </row>
    <row r="362" customHeight="1" spans="1:15">
      <c r="A362" s="3" t="s">
        <v>138</v>
      </c>
      <c r="B362" s="3" t="s">
        <v>229</v>
      </c>
      <c r="C362" s="4">
        <v>-30</v>
      </c>
      <c r="D362" s="131">
        <v>44069</v>
      </c>
      <c r="E362" s="132">
        <v>110.04</v>
      </c>
      <c r="F362" s="132">
        <f t="shared" si="0"/>
        <v>-3301.2</v>
      </c>
      <c r="G362" s="132">
        <v>0.06</v>
      </c>
      <c r="H362" s="67">
        <f t="shared" si="19"/>
        <v>0.90749988</v>
      </c>
      <c r="I362" s="67"/>
      <c r="J362" s="67">
        <f t="shared" si="1"/>
        <v>-3300.23250012</v>
      </c>
      <c r="K362" s="45"/>
      <c r="L362" s="45"/>
      <c r="M362" s="45"/>
      <c r="N362" s="137"/>
      <c r="O362" s="137"/>
    </row>
    <row r="363" customHeight="1" spans="1:15">
      <c r="A363" s="7" t="s">
        <v>138</v>
      </c>
      <c r="B363" s="7" t="s">
        <v>229</v>
      </c>
      <c r="C363" s="8">
        <v>-104</v>
      </c>
      <c r="D363" s="133">
        <v>44069</v>
      </c>
      <c r="E363" s="134">
        <v>110.07</v>
      </c>
      <c r="F363" s="134">
        <f t="shared" si="0"/>
        <v>-11447.28</v>
      </c>
      <c r="G363" s="134">
        <v>0.41</v>
      </c>
      <c r="H363" s="134">
        <v>3.14</v>
      </c>
      <c r="I363" s="134">
        <v>0.74</v>
      </c>
      <c r="J363" s="138">
        <f t="shared" si="1"/>
        <v>-11442.99</v>
      </c>
      <c r="K363" s="140"/>
      <c r="L363" s="45"/>
      <c r="M363" s="45"/>
      <c r="N363" s="137"/>
      <c r="O363" s="137"/>
    </row>
    <row r="364" customHeight="1" spans="1:15">
      <c r="A364" s="3" t="s">
        <v>37</v>
      </c>
      <c r="B364" s="3" t="s">
        <v>229</v>
      </c>
      <c r="C364" s="4">
        <v>-20</v>
      </c>
      <c r="D364" s="131">
        <v>44070</v>
      </c>
      <c r="E364" s="132">
        <v>213.66</v>
      </c>
      <c r="F364" s="132">
        <f t="shared" si="0"/>
        <v>-4273.2</v>
      </c>
      <c r="G364" s="132">
        <v>0.1</v>
      </c>
      <c r="H364" s="67">
        <f t="shared" ref="H364:H369" si="20">ABS(0.0002749*E364*C364)</f>
        <v>1.17470268</v>
      </c>
      <c r="I364" s="67"/>
      <c r="J364" s="67">
        <f t="shared" si="1"/>
        <v>-4271.92529732</v>
      </c>
      <c r="K364" s="45"/>
      <c r="L364" s="45"/>
      <c r="M364" s="45"/>
      <c r="N364" s="137"/>
      <c r="O364" s="137"/>
    </row>
    <row r="365" customHeight="1" spans="1:15">
      <c r="A365" s="7" t="s">
        <v>37</v>
      </c>
      <c r="B365" s="7" t="s">
        <v>229</v>
      </c>
      <c r="C365" s="8">
        <v>-45</v>
      </c>
      <c r="D365" s="133">
        <v>44070</v>
      </c>
      <c r="E365" s="134">
        <v>213.7</v>
      </c>
      <c r="F365" s="134">
        <f t="shared" si="0"/>
        <v>-9616.5</v>
      </c>
      <c r="G365" s="134">
        <v>0.34</v>
      </c>
      <c r="H365" s="138">
        <f t="shared" si="20"/>
        <v>2.64357585</v>
      </c>
      <c r="I365" s="134">
        <v>0.69</v>
      </c>
      <c r="J365" s="138">
        <f t="shared" si="1"/>
        <v>-9612.82642415</v>
      </c>
      <c r="K365" s="140"/>
      <c r="L365" s="45"/>
      <c r="M365" s="45"/>
      <c r="N365" s="137"/>
      <c r="O365" s="137"/>
    </row>
    <row r="366" customHeight="1" spans="1:15">
      <c r="A366" s="3" t="s">
        <v>133</v>
      </c>
      <c r="B366" s="3" t="s">
        <v>228</v>
      </c>
      <c r="C366" s="4">
        <v>120</v>
      </c>
      <c r="D366" s="131">
        <v>44070</v>
      </c>
      <c r="E366" s="132">
        <v>113.48</v>
      </c>
      <c r="F366" s="132">
        <f t="shared" si="0"/>
        <v>13617.6</v>
      </c>
      <c r="G366" s="132">
        <v>0.46</v>
      </c>
      <c r="H366" s="67">
        <f t="shared" si="20"/>
        <v>3.74347824</v>
      </c>
      <c r="I366" s="67"/>
      <c r="J366" s="67">
        <f t="shared" si="1"/>
        <v>13621.80347824</v>
      </c>
      <c r="K366" s="45"/>
      <c r="L366" s="45"/>
      <c r="M366" s="45"/>
      <c r="N366" s="137"/>
      <c r="O366" s="137"/>
    </row>
    <row r="367" customHeight="1" spans="1:15">
      <c r="A367" s="7" t="s">
        <v>133</v>
      </c>
      <c r="B367" s="7" t="s">
        <v>228</v>
      </c>
      <c r="C367" s="8">
        <v>80</v>
      </c>
      <c r="D367" s="133">
        <v>44070</v>
      </c>
      <c r="E367" s="134">
        <v>113.5</v>
      </c>
      <c r="F367" s="134">
        <f t="shared" si="0"/>
        <v>9080</v>
      </c>
      <c r="G367" s="134">
        <v>0.26</v>
      </c>
      <c r="H367" s="138">
        <f t="shared" si="20"/>
        <v>2.496092</v>
      </c>
      <c r="I367" s="138"/>
      <c r="J367" s="138">
        <f t="shared" si="1"/>
        <v>9082.756092</v>
      </c>
      <c r="K367" s="140"/>
      <c r="L367" s="45"/>
      <c r="M367" s="45"/>
      <c r="N367" s="137"/>
      <c r="O367" s="137"/>
    </row>
    <row r="368" customHeight="1" spans="1:15">
      <c r="A368" s="3" t="s">
        <v>21</v>
      </c>
      <c r="B368" s="3" t="s">
        <v>228</v>
      </c>
      <c r="C368" s="4">
        <v>35</v>
      </c>
      <c r="D368" s="131">
        <v>44071</v>
      </c>
      <c r="E368" s="132">
        <v>144.38</v>
      </c>
      <c r="F368" s="132">
        <f t="shared" si="0"/>
        <v>5053.3</v>
      </c>
      <c r="G368" s="132">
        <v>0.16</v>
      </c>
      <c r="H368" s="67">
        <f t="shared" si="20"/>
        <v>1.38915217</v>
      </c>
      <c r="I368" s="67"/>
      <c r="J368" s="67">
        <f t="shared" si="1"/>
        <v>5054.84915217</v>
      </c>
      <c r="K368" s="45"/>
      <c r="L368" s="45"/>
      <c r="M368" s="45"/>
      <c r="N368" s="137"/>
      <c r="O368" s="137"/>
    </row>
    <row r="369" customHeight="1" spans="1:15">
      <c r="A369" s="7" t="s">
        <v>21</v>
      </c>
      <c r="B369" s="7" t="s">
        <v>228</v>
      </c>
      <c r="C369" s="8">
        <v>35</v>
      </c>
      <c r="D369" s="133">
        <v>44071</v>
      </c>
      <c r="E369" s="134">
        <v>146</v>
      </c>
      <c r="F369" s="134">
        <f t="shared" si="0"/>
        <v>5110</v>
      </c>
      <c r="G369" s="134">
        <v>0.16</v>
      </c>
      <c r="H369" s="138">
        <f t="shared" si="20"/>
        <v>1.404739</v>
      </c>
      <c r="I369" s="138"/>
      <c r="J369" s="138">
        <f t="shared" si="1"/>
        <v>5111.564739</v>
      </c>
      <c r="K369" s="140"/>
      <c r="L369" s="45"/>
      <c r="M369" s="45"/>
      <c r="N369" s="137"/>
      <c r="O369" s="137"/>
    </row>
    <row r="370" customHeight="1" spans="1:15">
      <c r="A370" s="3" t="s">
        <v>16</v>
      </c>
      <c r="B370" s="3" t="s">
        <v>228</v>
      </c>
      <c r="C370" s="4">
        <v>50</v>
      </c>
      <c r="D370" s="131">
        <v>44053</v>
      </c>
      <c r="E370" s="132">
        <v>96.79</v>
      </c>
      <c r="F370" s="132">
        <f t="shared" si="0"/>
        <v>4839.5</v>
      </c>
      <c r="G370" s="132">
        <v>0</v>
      </c>
      <c r="H370" s="132">
        <v>0</v>
      </c>
      <c r="I370" s="67"/>
      <c r="J370" s="67">
        <f t="shared" si="1"/>
        <v>4839.5</v>
      </c>
      <c r="K370" s="3" t="s">
        <v>230</v>
      </c>
      <c r="L370" s="45"/>
      <c r="M370" s="45"/>
      <c r="N370" s="137"/>
      <c r="O370" s="137"/>
    </row>
    <row r="371" customHeight="1" spans="1:15">
      <c r="A371" s="7" t="s">
        <v>124</v>
      </c>
      <c r="B371" s="7" t="s">
        <v>229</v>
      </c>
      <c r="C371" s="8">
        <v>-64</v>
      </c>
      <c r="D371" s="133">
        <v>44025</v>
      </c>
      <c r="E371" s="134">
        <v>77.9</v>
      </c>
      <c r="F371" s="134">
        <f t="shared" si="0"/>
        <v>-4985.6</v>
      </c>
      <c r="G371" s="134">
        <v>0.14</v>
      </c>
      <c r="H371" s="134">
        <v>1.36</v>
      </c>
      <c r="I371" s="134">
        <v>0.27</v>
      </c>
      <c r="J371" s="138">
        <f t="shared" si="1"/>
        <v>-4983.83</v>
      </c>
      <c r="K371" s="140"/>
      <c r="L371" s="45"/>
      <c r="M371" s="45"/>
      <c r="N371" s="137"/>
      <c r="O371" s="137"/>
    </row>
    <row r="372" customHeight="1" spans="1:15">
      <c r="A372" s="3" t="s">
        <v>124</v>
      </c>
      <c r="B372" s="3" t="s">
        <v>229</v>
      </c>
      <c r="C372" s="4">
        <v>-6</v>
      </c>
      <c r="D372" s="131">
        <v>44025</v>
      </c>
      <c r="E372" s="132">
        <v>77.89</v>
      </c>
      <c r="F372" s="132">
        <f t="shared" si="0"/>
        <v>-467.34</v>
      </c>
      <c r="G372" s="132">
        <v>0.02</v>
      </c>
      <c r="H372" s="67">
        <f>ABS(0.0002749*E372*C372)</f>
        <v>0.128471766</v>
      </c>
      <c r="I372" s="67"/>
      <c r="J372" s="67">
        <f t="shared" si="1"/>
        <v>-467.191528234</v>
      </c>
      <c r="K372" s="45"/>
      <c r="L372" s="45"/>
      <c r="M372" s="45"/>
      <c r="N372" s="141"/>
      <c r="O372" s="137"/>
    </row>
    <row r="373" customHeight="1" spans="1:15">
      <c r="A373" s="7" t="s">
        <v>119</v>
      </c>
      <c r="B373" s="7" t="s">
        <v>228</v>
      </c>
      <c r="C373" s="8">
        <v>15</v>
      </c>
      <c r="D373" s="133">
        <v>44014</v>
      </c>
      <c r="E373" s="134">
        <v>100.36</v>
      </c>
      <c r="F373" s="134">
        <f t="shared" si="0"/>
        <v>1505.4</v>
      </c>
      <c r="G373" s="134">
        <v>0</v>
      </c>
      <c r="H373" s="134">
        <v>0</v>
      </c>
      <c r="I373" s="138"/>
      <c r="J373" s="138">
        <f t="shared" si="1"/>
        <v>1505.4</v>
      </c>
      <c r="K373" s="7" t="s">
        <v>230</v>
      </c>
      <c r="L373" s="45"/>
      <c r="M373" s="45"/>
      <c r="N373" s="137"/>
      <c r="O373" s="137"/>
    </row>
    <row r="374" customHeight="1" spans="1:15">
      <c r="A374" s="3" t="s">
        <v>119</v>
      </c>
      <c r="B374" s="3" t="s">
        <v>228</v>
      </c>
      <c r="C374" s="4">
        <v>4</v>
      </c>
      <c r="D374" s="131">
        <v>44027</v>
      </c>
      <c r="E374" s="132">
        <v>100.36</v>
      </c>
      <c r="F374" s="132">
        <f t="shared" si="0"/>
        <v>401.44</v>
      </c>
      <c r="G374" s="132">
        <v>0</v>
      </c>
      <c r="H374" s="132">
        <v>0</v>
      </c>
      <c r="I374" s="67"/>
      <c r="J374" s="67">
        <f t="shared" si="1"/>
        <v>401.44</v>
      </c>
      <c r="K374" s="3" t="s">
        <v>230</v>
      </c>
      <c r="L374" s="45"/>
      <c r="M374" s="45"/>
      <c r="N374" s="137"/>
      <c r="O374" s="137"/>
    </row>
    <row r="375" customHeight="1" spans="1:15">
      <c r="A375" s="7" t="s">
        <v>15</v>
      </c>
      <c r="B375" s="7" t="s">
        <v>228</v>
      </c>
      <c r="C375" s="8">
        <v>43</v>
      </c>
      <c r="D375" s="133">
        <v>44042</v>
      </c>
      <c r="E375" s="134">
        <v>155.37</v>
      </c>
      <c r="F375" s="134">
        <f t="shared" si="0"/>
        <v>6680.91</v>
      </c>
      <c r="G375" s="134">
        <v>0</v>
      </c>
      <c r="H375" s="134">
        <v>0</v>
      </c>
      <c r="I375" s="138"/>
      <c r="J375" s="138">
        <f t="shared" si="1"/>
        <v>6680.91</v>
      </c>
      <c r="K375" s="7" t="s">
        <v>230</v>
      </c>
      <c r="L375" s="45"/>
      <c r="M375" s="45"/>
      <c r="N375" s="137"/>
      <c r="O375" s="137"/>
    </row>
    <row r="376" customHeight="1" spans="1:15">
      <c r="A376" s="3" t="s">
        <v>16</v>
      </c>
      <c r="B376" s="3" t="s">
        <v>228</v>
      </c>
      <c r="C376" s="4">
        <v>145</v>
      </c>
      <c r="D376" s="131">
        <v>44040</v>
      </c>
      <c r="E376" s="132">
        <v>96.79</v>
      </c>
      <c r="F376" s="132">
        <f t="shared" si="0"/>
        <v>14034.55</v>
      </c>
      <c r="G376" s="132">
        <v>0</v>
      </c>
      <c r="H376" s="132">
        <v>0</v>
      </c>
      <c r="I376" s="67"/>
      <c r="J376" s="67">
        <f t="shared" si="1"/>
        <v>14034.55</v>
      </c>
      <c r="K376" s="3" t="s">
        <v>230</v>
      </c>
      <c r="L376" s="45"/>
      <c r="M376" s="45"/>
      <c r="N376" s="137"/>
      <c r="O376" s="137"/>
    </row>
    <row r="377" customHeight="1" spans="1:15">
      <c r="A377" s="7" t="s">
        <v>231</v>
      </c>
      <c r="B377" s="7" t="s">
        <v>228</v>
      </c>
      <c r="C377" s="8">
        <v>15</v>
      </c>
      <c r="D377" s="133">
        <v>43999</v>
      </c>
      <c r="E377" s="134">
        <v>115.37</v>
      </c>
      <c r="F377" s="134">
        <f t="shared" si="0"/>
        <v>1730.55</v>
      </c>
      <c r="G377" s="134">
        <v>0.05</v>
      </c>
      <c r="H377" s="134">
        <v>0.47</v>
      </c>
      <c r="I377" s="138"/>
      <c r="J377" s="138">
        <f t="shared" si="1"/>
        <v>1731.07</v>
      </c>
      <c r="K377" s="140"/>
      <c r="L377" s="45"/>
      <c r="M377" s="45"/>
      <c r="N377" s="137"/>
      <c r="O377" s="137"/>
    </row>
    <row r="378" customHeight="1" spans="1:15">
      <c r="A378" s="3" t="s">
        <v>114</v>
      </c>
      <c r="B378" s="3" t="s">
        <v>228</v>
      </c>
      <c r="C378" s="4">
        <v>53</v>
      </c>
      <c r="D378" s="131">
        <v>43985</v>
      </c>
      <c r="E378" s="132">
        <v>86.94</v>
      </c>
      <c r="F378" s="132">
        <f t="shared" si="0"/>
        <v>4607.82</v>
      </c>
      <c r="G378" s="132">
        <v>0</v>
      </c>
      <c r="H378" s="132">
        <v>0</v>
      </c>
      <c r="I378" s="67"/>
      <c r="J378" s="67">
        <f t="shared" si="1"/>
        <v>4607.82</v>
      </c>
      <c r="K378" s="3" t="s">
        <v>230</v>
      </c>
      <c r="L378" s="45"/>
      <c r="M378" s="45"/>
      <c r="N378" s="137"/>
      <c r="O378" s="137"/>
    </row>
    <row r="379" customHeight="1" spans="1:15">
      <c r="A379" s="7" t="s">
        <v>13</v>
      </c>
      <c r="B379" s="7" t="s">
        <v>228</v>
      </c>
      <c r="C379" s="8">
        <v>10</v>
      </c>
      <c r="D379" s="133">
        <v>43955</v>
      </c>
      <c r="E379" s="134">
        <v>114.99</v>
      </c>
      <c r="F379" s="134">
        <f t="shared" si="0"/>
        <v>1149.9</v>
      </c>
      <c r="G379" s="134">
        <v>0.03</v>
      </c>
      <c r="H379" s="134">
        <v>0.31</v>
      </c>
      <c r="I379" s="138"/>
      <c r="J379" s="138">
        <f t="shared" si="1"/>
        <v>1150.24</v>
      </c>
      <c r="K379" s="140"/>
      <c r="L379" s="45"/>
      <c r="M379" s="45"/>
      <c r="N379" s="137"/>
      <c r="O379" s="137"/>
    </row>
    <row r="380" customHeight="1" spans="1:15">
      <c r="A380" s="3" t="s">
        <v>138</v>
      </c>
      <c r="B380" s="3" t="s">
        <v>228</v>
      </c>
      <c r="C380" s="4">
        <v>10</v>
      </c>
      <c r="D380" s="131">
        <v>43955</v>
      </c>
      <c r="E380" s="132">
        <v>91.4</v>
      </c>
      <c r="F380" s="132">
        <f t="shared" si="0"/>
        <v>914</v>
      </c>
      <c r="G380" s="132">
        <v>0.02</v>
      </c>
      <c r="H380" s="132">
        <v>0.15</v>
      </c>
      <c r="I380" s="67"/>
      <c r="J380" s="67">
        <f t="shared" si="1"/>
        <v>914.17</v>
      </c>
      <c r="K380" s="45"/>
      <c r="L380" s="45"/>
      <c r="M380" s="45"/>
      <c r="N380" s="137"/>
      <c r="O380" s="137"/>
    </row>
    <row r="381" customHeight="1" spans="1:15">
      <c r="A381" s="7" t="s">
        <v>138</v>
      </c>
      <c r="B381" s="7" t="s">
        <v>228</v>
      </c>
      <c r="C381" s="8">
        <v>10</v>
      </c>
      <c r="D381" s="133">
        <v>43963</v>
      </c>
      <c r="E381" s="134">
        <v>87.7</v>
      </c>
      <c r="F381" s="134">
        <f t="shared" si="0"/>
        <v>877</v>
      </c>
      <c r="G381" s="134">
        <v>0.02</v>
      </c>
      <c r="H381" s="138">
        <f t="shared" ref="H381:H382" si="21">0.0002749*E381*C381</f>
        <v>0.2410873</v>
      </c>
      <c r="I381" s="138"/>
      <c r="J381" s="138">
        <f t="shared" si="1"/>
        <v>877.2610873</v>
      </c>
      <c r="K381" s="140"/>
      <c r="L381" s="45"/>
      <c r="M381" s="45"/>
      <c r="N381" s="137"/>
      <c r="O381" s="137"/>
    </row>
    <row r="382" customHeight="1" spans="1:15">
      <c r="A382" s="3" t="s">
        <v>37</v>
      </c>
      <c r="B382" s="3" t="s">
        <v>228</v>
      </c>
      <c r="C382" s="4">
        <v>5</v>
      </c>
      <c r="D382" s="131">
        <v>43965</v>
      </c>
      <c r="E382" s="132">
        <v>190.45</v>
      </c>
      <c r="F382" s="132">
        <f t="shared" si="0"/>
        <v>952.25</v>
      </c>
      <c r="G382" s="132">
        <v>0.03</v>
      </c>
      <c r="H382" s="67">
        <f t="shared" si="21"/>
        <v>0.261773525</v>
      </c>
      <c r="I382" s="67"/>
      <c r="J382" s="67">
        <f t="shared" si="1"/>
        <v>952.541773525</v>
      </c>
      <c r="K382" s="45"/>
      <c r="L382" s="45"/>
      <c r="M382" s="45"/>
      <c r="N382" s="137"/>
      <c r="O382" s="137"/>
    </row>
    <row r="383" customHeight="1" spans="1:15">
      <c r="A383" s="7" t="s">
        <v>138</v>
      </c>
      <c r="B383" s="7" t="s">
        <v>228</v>
      </c>
      <c r="C383" s="8">
        <v>10</v>
      </c>
      <c r="D383" s="133">
        <v>43965</v>
      </c>
      <c r="E383" s="134">
        <v>82.5</v>
      </c>
      <c r="F383" s="134">
        <f t="shared" si="0"/>
        <v>825</v>
      </c>
      <c r="G383" s="134">
        <v>0.02</v>
      </c>
      <c r="H383" s="134">
        <v>0.22</v>
      </c>
      <c r="I383" s="138"/>
      <c r="J383" s="138">
        <f t="shared" si="1"/>
        <v>825.24</v>
      </c>
      <c r="K383" s="140"/>
      <c r="L383" s="45"/>
      <c r="M383" s="45"/>
      <c r="N383" s="137"/>
      <c r="O383" s="137"/>
    </row>
    <row r="384" customHeight="1" spans="1:15">
      <c r="A384" s="3" t="s">
        <v>114</v>
      </c>
      <c r="B384" s="3" t="s">
        <v>228</v>
      </c>
      <c r="C384" s="4">
        <v>27</v>
      </c>
      <c r="D384" s="131">
        <v>43965</v>
      </c>
      <c r="E384" s="132">
        <v>86.94</v>
      </c>
      <c r="F384" s="132">
        <f t="shared" si="0"/>
        <v>2347.38</v>
      </c>
      <c r="G384" s="132">
        <v>0</v>
      </c>
      <c r="H384" s="132">
        <v>0</v>
      </c>
      <c r="I384" s="67"/>
      <c r="J384" s="67">
        <f t="shared" si="1"/>
        <v>2347.38</v>
      </c>
      <c r="K384" s="3" t="s">
        <v>230</v>
      </c>
      <c r="L384" s="45"/>
      <c r="M384" s="45"/>
      <c r="N384" s="137"/>
      <c r="O384" s="137"/>
    </row>
    <row r="385" customHeight="1" spans="1:15">
      <c r="A385" s="7" t="s">
        <v>16</v>
      </c>
      <c r="B385" s="7" t="s">
        <v>228</v>
      </c>
      <c r="C385" s="8">
        <v>20</v>
      </c>
      <c r="D385" s="133">
        <v>43929</v>
      </c>
      <c r="E385" s="134">
        <v>99.48</v>
      </c>
      <c r="F385" s="134">
        <f t="shared" si="0"/>
        <v>1989.6</v>
      </c>
      <c r="G385" s="134">
        <v>0.05</v>
      </c>
      <c r="H385" s="134">
        <v>0.54</v>
      </c>
      <c r="I385" s="138"/>
      <c r="J385" s="138">
        <f t="shared" si="1"/>
        <v>1990.19</v>
      </c>
      <c r="K385" s="7"/>
      <c r="L385" s="45"/>
      <c r="M385" s="45"/>
      <c r="N385" s="137"/>
      <c r="O385" s="137"/>
    </row>
    <row r="386" customHeight="1" spans="1:15">
      <c r="A386" s="3" t="s">
        <v>114</v>
      </c>
      <c r="B386" s="3" t="s">
        <v>228</v>
      </c>
      <c r="C386" s="4">
        <v>15</v>
      </c>
      <c r="D386" s="131">
        <v>43934</v>
      </c>
      <c r="E386" s="132">
        <v>91.26</v>
      </c>
      <c r="F386" s="132">
        <f t="shared" si="0"/>
        <v>1368.9</v>
      </c>
      <c r="G386" s="132">
        <v>0.04</v>
      </c>
      <c r="H386" s="67">
        <f t="shared" ref="H386:H387" si="22">0.0002749*E386*C386</f>
        <v>0.37631061</v>
      </c>
      <c r="I386" s="67"/>
      <c r="J386" s="67">
        <f t="shared" si="1"/>
        <v>1369.31631061</v>
      </c>
      <c r="K386" s="3"/>
      <c r="L386" s="45"/>
      <c r="M386" s="45"/>
      <c r="N386" s="137"/>
      <c r="O386" s="137"/>
    </row>
    <row r="387" customHeight="1" spans="1:15">
      <c r="A387" s="7" t="s">
        <v>159</v>
      </c>
      <c r="B387" s="7" t="s">
        <v>228</v>
      </c>
      <c r="C387" s="8">
        <v>5</v>
      </c>
      <c r="D387" s="133">
        <v>43934</v>
      </c>
      <c r="E387" s="134">
        <v>112.79</v>
      </c>
      <c r="F387" s="134">
        <f t="shared" si="0"/>
        <v>563.95</v>
      </c>
      <c r="G387" s="134">
        <v>0.02</v>
      </c>
      <c r="H387" s="138">
        <f t="shared" si="22"/>
        <v>0.155029855</v>
      </c>
      <c r="I387" s="138"/>
      <c r="J387" s="138">
        <f t="shared" si="1"/>
        <v>564.125029855</v>
      </c>
      <c r="K387" s="7"/>
      <c r="L387" s="45"/>
      <c r="M387" s="45"/>
      <c r="N387" s="137"/>
      <c r="O387" s="137"/>
    </row>
    <row r="388" customHeight="1" spans="1:15">
      <c r="A388" s="3" t="s">
        <v>159</v>
      </c>
      <c r="B388" s="3" t="s">
        <v>228</v>
      </c>
      <c r="C388" s="4">
        <v>10</v>
      </c>
      <c r="D388" s="131">
        <v>43934</v>
      </c>
      <c r="E388" s="132">
        <v>112.97</v>
      </c>
      <c r="F388" s="132">
        <f t="shared" si="0"/>
        <v>1129.7</v>
      </c>
      <c r="G388" s="132">
        <v>0.03</v>
      </c>
      <c r="H388" s="132">
        <v>0.3</v>
      </c>
      <c r="I388" s="67"/>
      <c r="J388" s="67">
        <f t="shared" si="1"/>
        <v>1130.03</v>
      </c>
      <c r="K388" s="3"/>
      <c r="L388" s="45"/>
      <c r="M388" s="45"/>
      <c r="N388" s="137"/>
      <c r="O388" s="137"/>
    </row>
    <row r="389" customHeight="1" spans="1:15">
      <c r="A389" s="7" t="s">
        <v>156</v>
      </c>
      <c r="B389" s="7" t="s">
        <v>228</v>
      </c>
      <c r="C389" s="8">
        <v>10</v>
      </c>
      <c r="D389" s="133">
        <v>43935</v>
      </c>
      <c r="E389" s="134">
        <v>96.13</v>
      </c>
      <c r="F389" s="134">
        <f t="shared" si="0"/>
        <v>961.3</v>
      </c>
      <c r="G389" s="134">
        <v>0.03</v>
      </c>
      <c r="H389" s="138">
        <f t="shared" ref="H389:H390" si="23">0.0002749*E389*C389</f>
        <v>0.26426137</v>
      </c>
      <c r="I389" s="138"/>
      <c r="J389" s="138">
        <f t="shared" si="1"/>
        <v>961.59426137</v>
      </c>
      <c r="K389" s="7"/>
      <c r="L389" s="45"/>
      <c r="M389" s="45"/>
      <c r="N389" s="137"/>
      <c r="O389" s="137"/>
    </row>
    <row r="390" customHeight="1" spans="1:15">
      <c r="A390" s="3" t="s">
        <v>119</v>
      </c>
      <c r="B390" s="3" t="s">
        <v>228</v>
      </c>
      <c r="C390" s="4">
        <v>10</v>
      </c>
      <c r="D390" s="131">
        <v>43935</v>
      </c>
      <c r="E390" s="132">
        <v>99.77</v>
      </c>
      <c r="F390" s="132">
        <f t="shared" si="0"/>
        <v>997.7</v>
      </c>
      <c r="G390" s="132">
        <v>0.03</v>
      </c>
      <c r="H390" s="67">
        <f t="shared" si="23"/>
        <v>0.27426773</v>
      </c>
      <c r="I390" s="67"/>
      <c r="J390" s="67">
        <f t="shared" si="1"/>
        <v>998.00426773</v>
      </c>
      <c r="K390" s="3"/>
      <c r="L390" s="45"/>
      <c r="M390" s="45"/>
      <c r="N390" s="137"/>
      <c r="O390" s="137"/>
    </row>
    <row r="391" customHeight="1" spans="1:15">
      <c r="A391" s="7" t="s">
        <v>13</v>
      </c>
      <c r="B391" s="7" t="s">
        <v>228</v>
      </c>
      <c r="C391" s="8">
        <v>10</v>
      </c>
      <c r="D391" s="133">
        <v>43935</v>
      </c>
      <c r="E391" s="134">
        <v>107.34</v>
      </c>
      <c r="F391" s="134">
        <f t="shared" si="0"/>
        <v>1073.4</v>
      </c>
      <c r="G391" s="134">
        <v>0.03</v>
      </c>
      <c r="H391" s="134">
        <v>0.29</v>
      </c>
      <c r="I391" s="138"/>
      <c r="J391" s="138">
        <f t="shared" si="1"/>
        <v>1073.72</v>
      </c>
      <c r="K391" s="7"/>
      <c r="L391" s="45"/>
      <c r="M391" s="45"/>
      <c r="N391" s="137"/>
      <c r="O391" s="137"/>
    </row>
    <row r="392" customHeight="1" spans="1:15">
      <c r="A392" s="3" t="s">
        <v>149</v>
      </c>
      <c r="B392" s="3" t="s">
        <v>228</v>
      </c>
      <c r="C392" s="4">
        <v>5</v>
      </c>
      <c r="D392" s="131">
        <v>43945</v>
      </c>
      <c r="E392" s="132">
        <v>115.9</v>
      </c>
      <c r="F392" s="132">
        <f t="shared" si="0"/>
        <v>579.5</v>
      </c>
      <c r="G392" s="132">
        <v>0.02</v>
      </c>
      <c r="H392" s="67">
        <f t="shared" ref="H392:H397" si="24">0.0002749*E392*C392</f>
        <v>0.15930455</v>
      </c>
      <c r="I392" s="67"/>
      <c r="J392" s="67">
        <f t="shared" si="1"/>
        <v>579.67930455</v>
      </c>
      <c r="K392" s="3"/>
      <c r="L392" s="45"/>
      <c r="M392" s="45"/>
      <c r="N392" s="137"/>
      <c r="O392" s="137"/>
    </row>
    <row r="393" customHeight="1" spans="1:15">
      <c r="A393" s="7" t="s">
        <v>13</v>
      </c>
      <c r="B393" s="7" t="s">
        <v>228</v>
      </c>
      <c r="C393" s="8">
        <v>5</v>
      </c>
      <c r="D393" s="133">
        <v>43945</v>
      </c>
      <c r="E393" s="134">
        <v>111.86</v>
      </c>
      <c r="F393" s="134">
        <f t="shared" si="0"/>
        <v>559.3</v>
      </c>
      <c r="G393" s="138">
        <f>0.00004316*E393*C393</f>
        <v>0.024139388</v>
      </c>
      <c r="H393" s="138">
        <f t="shared" si="24"/>
        <v>0.15375157</v>
      </c>
      <c r="I393" s="138"/>
      <c r="J393" s="138">
        <f t="shared" si="1"/>
        <v>559.477890958</v>
      </c>
      <c r="K393" s="7"/>
      <c r="L393" s="45"/>
      <c r="M393" s="45"/>
      <c r="N393" s="137"/>
      <c r="O393" s="137"/>
    </row>
    <row r="394" customHeight="1" spans="1:15">
      <c r="A394" s="3" t="s">
        <v>138</v>
      </c>
      <c r="B394" s="3" t="s">
        <v>228</v>
      </c>
      <c r="C394" s="4">
        <v>4</v>
      </c>
      <c r="D394" s="131">
        <v>43945</v>
      </c>
      <c r="E394" s="132">
        <v>94.9</v>
      </c>
      <c r="F394" s="132">
        <f t="shared" si="0"/>
        <v>379.6</v>
      </c>
      <c r="G394" s="132">
        <v>0.01</v>
      </c>
      <c r="H394" s="67">
        <f t="shared" si="24"/>
        <v>0.10435204</v>
      </c>
      <c r="I394" s="67"/>
      <c r="J394" s="67">
        <f t="shared" si="1"/>
        <v>379.71435204</v>
      </c>
      <c r="K394" s="3"/>
      <c r="L394" s="45"/>
      <c r="M394" s="45"/>
      <c r="N394" s="137"/>
      <c r="O394" s="137"/>
    </row>
    <row r="395" customHeight="1" spans="1:15">
      <c r="A395" s="7" t="s">
        <v>138</v>
      </c>
      <c r="B395" s="7" t="s">
        <v>228</v>
      </c>
      <c r="C395" s="8">
        <v>15</v>
      </c>
      <c r="D395" s="133">
        <v>43945</v>
      </c>
      <c r="E395" s="134">
        <v>94.57</v>
      </c>
      <c r="F395" s="134">
        <f t="shared" si="0"/>
        <v>1418.55</v>
      </c>
      <c r="G395" s="134">
        <v>0.04</v>
      </c>
      <c r="H395" s="138">
        <f t="shared" si="24"/>
        <v>0.389959395</v>
      </c>
      <c r="I395" s="138"/>
      <c r="J395" s="138">
        <f t="shared" si="1"/>
        <v>1418.979959395</v>
      </c>
      <c r="K395" s="7"/>
      <c r="L395" s="45"/>
      <c r="M395" s="45"/>
      <c r="N395" s="137"/>
      <c r="O395" s="137"/>
    </row>
    <row r="396" customHeight="1" spans="1:15">
      <c r="A396" s="3" t="s">
        <v>21</v>
      </c>
      <c r="B396" s="3" t="s">
        <v>228</v>
      </c>
      <c r="C396" s="4">
        <v>10</v>
      </c>
      <c r="D396" s="131">
        <v>43948</v>
      </c>
      <c r="E396" s="132">
        <v>139.91</v>
      </c>
      <c r="F396" s="132">
        <f t="shared" si="0"/>
        <v>1399.1</v>
      </c>
      <c r="G396" s="132">
        <v>0.04</v>
      </c>
      <c r="H396" s="67">
        <f t="shared" si="24"/>
        <v>0.38461259</v>
      </c>
      <c r="I396" s="67"/>
      <c r="J396" s="67">
        <f t="shared" si="1"/>
        <v>1399.52461259</v>
      </c>
      <c r="K396" s="3"/>
      <c r="L396" s="45"/>
      <c r="M396" s="45"/>
      <c r="N396" s="137"/>
      <c r="O396" s="137"/>
    </row>
    <row r="397" customHeight="1" spans="1:15">
      <c r="A397" s="7" t="s">
        <v>138</v>
      </c>
      <c r="B397" s="7" t="s">
        <v>228</v>
      </c>
      <c r="C397" s="8">
        <v>10</v>
      </c>
      <c r="D397" s="133">
        <v>43948</v>
      </c>
      <c r="E397" s="134">
        <v>95.9</v>
      </c>
      <c r="F397" s="134">
        <f t="shared" si="0"/>
        <v>959</v>
      </c>
      <c r="G397" s="134">
        <v>0.03</v>
      </c>
      <c r="H397" s="138">
        <f t="shared" si="24"/>
        <v>0.2636291</v>
      </c>
      <c r="I397" s="138"/>
      <c r="J397" s="138">
        <f t="shared" si="1"/>
        <v>959.2936291</v>
      </c>
      <c r="K397" s="7"/>
      <c r="L397" s="45"/>
      <c r="M397" s="45"/>
      <c r="N397" s="137"/>
      <c r="O397" s="137"/>
    </row>
    <row r="398" customHeight="1" spans="1:15">
      <c r="A398" s="3" t="s">
        <v>138</v>
      </c>
      <c r="B398" s="3" t="s">
        <v>228</v>
      </c>
      <c r="C398" s="4">
        <v>5</v>
      </c>
      <c r="D398" s="131">
        <v>43949</v>
      </c>
      <c r="E398" s="132">
        <v>94.97</v>
      </c>
      <c r="F398" s="132">
        <f t="shared" si="0"/>
        <v>474.85</v>
      </c>
      <c r="G398" s="132">
        <v>0.01</v>
      </c>
      <c r="H398" s="132">
        <v>0.1</v>
      </c>
      <c r="I398" s="67"/>
      <c r="J398" s="67">
        <f t="shared" si="1"/>
        <v>474.96</v>
      </c>
      <c r="K398" s="3"/>
      <c r="L398" s="45"/>
      <c r="M398" s="45"/>
      <c r="N398" s="137"/>
      <c r="O398" s="137"/>
    </row>
    <row r="399" customHeight="1" spans="1:15">
      <c r="A399" s="7" t="s">
        <v>149</v>
      </c>
      <c r="B399" s="7" t="s">
        <v>228</v>
      </c>
      <c r="C399" s="8">
        <v>229</v>
      </c>
      <c r="D399" s="133">
        <v>43943</v>
      </c>
      <c r="E399" s="134">
        <v>143.93</v>
      </c>
      <c r="F399" s="134">
        <f t="shared" si="0"/>
        <v>32959.97</v>
      </c>
      <c r="G399" s="134">
        <v>0</v>
      </c>
      <c r="H399" s="134">
        <v>0</v>
      </c>
      <c r="I399" s="138"/>
      <c r="J399" s="138">
        <f t="shared" si="1"/>
        <v>32959.97</v>
      </c>
      <c r="K399" s="7"/>
      <c r="L399" s="45"/>
      <c r="M399" s="45"/>
      <c r="N399" s="137"/>
      <c r="O399" s="137"/>
    </row>
    <row r="400" customHeight="1" spans="1:15">
      <c r="A400" s="3" t="s">
        <v>119</v>
      </c>
      <c r="B400" s="3" t="s">
        <v>228</v>
      </c>
      <c r="C400" s="4">
        <v>20</v>
      </c>
      <c r="D400" s="131">
        <v>43892</v>
      </c>
      <c r="E400" s="132">
        <v>115.24</v>
      </c>
      <c r="F400" s="132">
        <f t="shared" si="0"/>
        <v>2304.8</v>
      </c>
      <c r="G400" s="132">
        <v>0.08</v>
      </c>
      <c r="H400" s="67">
        <f t="shared" ref="H400:H405" si="25">0.0002749*E400*C400</f>
        <v>0.63358952</v>
      </c>
      <c r="I400" s="67"/>
      <c r="J400" s="67">
        <f t="shared" si="1"/>
        <v>2305.51358952</v>
      </c>
      <c r="K400" s="45"/>
      <c r="L400" s="45"/>
      <c r="M400" s="45"/>
      <c r="N400" s="137"/>
      <c r="O400" s="137"/>
    </row>
    <row r="401" customHeight="1" spans="1:15">
      <c r="A401" s="7" t="s">
        <v>156</v>
      </c>
      <c r="B401" s="7" t="s">
        <v>228</v>
      </c>
      <c r="C401" s="8">
        <v>30</v>
      </c>
      <c r="D401" s="133">
        <v>43892</v>
      </c>
      <c r="E401" s="134">
        <v>114.71</v>
      </c>
      <c r="F401" s="134">
        <f t="shared" si="0"/>
        <v>3441.3</v>
      </c>
      <c r="G401" s="134">
        <v>0.12</v>
      </c>
      <c r="H401" s="138">
        <f t="shared" si="25"/>
        <v>0.94601337</v>
      </c>
      <c r="I401" s="138"/>
      <c r="J401" s="138">
        <f t="shared" si="1"/>
        <v>3442.36601337</v>
      </c>
      <c r="K401" s="140"/>
      <c r="L401" s="45"/>
      <c r="M401" s="45"/>
      <c r="N401" s="137"/>
      <c r="O401" s="137"/>
    </row>
    <row r="402" customHeight="1" spans="1:15">
      <c r="A402" s="3" t="s">
        <v>16</v>
      </c>
      <c r="B402" s="3" t="s">
        <v>228</v>
      </c>
      <c r="C402" s="4">
        <v>20</v>
      </c>
      <c r="D402" s="131">
        <v>43892</v>
      </c>
      <c r="E402" s="132">
        <v>122.6</v>
      </c>
      <c r="F402" s="132">
        <f t="shared" si="0"/>
        <v>2452</v>
      </c>
      <c r="G402" s="132">
        <v>0.08</v>
      </c>
      <c r="H402" s="67">
        <f t="shared" si="25"/>
        <v>0.6740548</v>
      </c>
      <c r="I402" s="67"/>
      <c r="J402" s="67">
        <f t="shared" si="1"/>
        <v>2452.7540548</v>
      </c>
      <c r="K402" s="45"/>
      <c r="L402" s="45"/>
      <c r="M402" s="45"/>
      <c r="N402" s="137"/>
      <c r="O402" s="137"/>
    </row>
    <row r="403" customHeight="1" spans="1:15">
      <c r="A403" s="7" t="s">
        <v>13</v>
      </c>
      <c r="B403" s="7" t="s">
        <v>228</v>
      </c>
      <c r="C403" s="8">
        <v>30</v>
      </c>
      <c r="D403" s="133">
        <v>43892</v>
      </c>
      <c r="E403" s="134">
        <v>125.1</v>
      </c>
      <c r="F403" s="134">
        <f t="shared" si="0"/>
        <v>3753</v>
      </c>
      <c r="G403" s="134">
        <v>0.13</v>
      </c>
      <c r="H403" s="138">
        <f t="shared" si="25"/>
        <v>1.0316997</v>
      </c>
      <c r="I403" s="138"/>
      <c r="J403" s="138">
        <f t="shared" si="1"/>
        <v>3754.1616997</v>
      </c>
      <c r="K403" s="140"/>
      <c r="L403" s="45"/>
      <c r="M403" s="45"/>
      <c r="N403" s="137"/>
      <c r="O403" s="137"/>
    </row>
    <row r="404" customHeight="1" spans="1:15">
      <c r="A404" s="3" t="s">
        <v>114</v>
      </c>
      <c r="B404" s="3" t="s">
        <v>228</v>
      </c>
      <c r="C404" s="4">
        <v>30</v>
      </c>
      <c r="D404" s="131">
        <v>43892</v>
      </c>
      <c r="E404" s="132">
        <v>106.6</v>
      </c>
      <c r="F404" s="132">
        <f t="shared" si="0"/>
        <v>3198</v>
      </c>
      <c r="G404" s="132">
        <v>0.11</v>
      </c>
      <c r="H404" s="67">
        <f t="shared" si="25"/>
        <v>0.8791302</v>
      </c>
      <c r="I404" s="67"/>
      <c r="J404" s="67">
        <f t="shared" si="1"/>
        <v>3198.9891302</v>
      </c>
      <c r="K404" s="45"/>
      <c r="L404" s="45"/>
      <c r="M404" s="45"/>
      <c r="N404" s="137"/>
      <c r="O404" s="137"/>
    </row>
    <row r="405" customHeight="1" spans="1:15">
      <c r="A405" s="7" t="s">
        <v>159</v>
      </c>
      <c r="B405" s="7" t="s">
        <v>228</v>
      </c>
      <c r="C405" s="8">
        <v>30</v>
      </c>
      <c r="D405" s="133">
        <v>43892</v>
      </c>
      <c r="E405" s="134">
        <v>128.2</v>
      </c>
      <c r="F405" s="134">
        <f t="shared" si="0"/>
        <v>3846</v>
      </c>
      <c r="G405" s="134">
        <v>0.13</v>
      </c>
      <c r="H405" s="138">
        <f t="shared" si="25"/>
        <v>1.0572654</v>
      </c>
      <c r="I405" s="138"/>
      <c r="J405" s="138">
        <f t="shared" si="1"/>
        <v>3847.1872654</v>
      </c>
      <c r="K405" s="140"/>
      <c r="L405" s="45"/>
      <c r="M405" s="45"/>
      <c r="N405" s="137"/>
      <c r="O405" s="137"/>
    </row>
    <row r="406" customHeight="1" spans="1:15">
      <c r="A406" s="3" t="s">
        <v>119</v>
      </c>
      <c r="B406" s="3" t="s">
        <v>228</v>
      </c>
      <c r="C406" s="4">
        <v>20</v>
      </c>
      <c r="D406" s="131">
        <v>43894</v>
      </c>
      <c r="E406" s="132">
        <v>115.55</v>
      </c>
      <c r="F406" s="132">
        <f t="shared" si="0"/>
        <v>2311</v>
      </c>
      <c r="G406" s="132">
        <v>0.07</v>
      </c>
      <c r="H406" s="132">
        <v>0.63</v>
      </c>
      <c r="I406" s="67"/>
      <c r="J406" s="67">
        <f t="shared" si="1"/>
        <v>2311.7</v>
      </c>
      <c r="K406" s="45"/>
      <c r="L406" s="45"/>
      <c r="M406" s="45"/>
      <c r="N406" s="137"/>
      <c r="O406" s="137"/>
    </row>
    <row r="407" customHeight="1" spans="1:15">
      <c r="A407" s="7" t="s">
        <v>37</v>
      </c>
      <c r="B407" s="7" t="s">
        <v>228</v>
      </c>
      <c r="C407" s="8">
        <v>20</v>
      </c>
      <c r="D407" s="133">
        <v>43894</v>
      </c>
      <c r="E407" s="134">
        <v>281.26</v>
      </c>
      <c r="F407" s="134">
        <f t="shared" si="0"/>
        <v>5625.2</v>
      </c>
      <c r="G407" s="134">
        <v>0.18</v>
      </c>
      <c r="H407" s="138">
        <f t="shared" ref="H407:H411" si="26">0.0002749*E407*C407</f>
        <v>1.54636748</v>
      </c>
      <c r="I407" s="138"/>
      <c r="J407" s="138">
        <f t="shared" si="1"/>
        <v>5626.92636748</v>
      </c>
      <c r="K407" s="140"/>
      <c r="L407" s="45"/>
      <c r="M407" s="45"/>
      <c r="N407" s="137"/>
      <c r="O407" s="137"/>
    </row>
    <row r="408" customHeight="1" spans="1:15">
      <c r="A408" s="3" t="s">
        <v>156</v>
      </c>
      <c r="B408" s="3" t="s">
        <v>228</v>
      </c>
      <c r="C408" s="4">
        <v>30</v>
      </c>
      <c r="D408" s="131">
        <v>43894</v>
      </c>
      <c r="E408" s="132">
        <v>114.55</v>
      </c>
      <c r="F408" s="132">
        <f t="shared" si="0"/>
        <v>3436.5</v>
      </c>
      <c r="G408" s="132">
        <v>0.11</v>
      </c>
      <c r="H408" s="67">
        <f t="shared" si="26"/>
        <v>0.94469385</v>
      </c>
      <c r="I408" s="67"/>
      <c r="J408" s="67">
        <f t="shared" si="1"/>
        <v>3437.55469385</v>
      </c>
      <c r="K408" s="45"/>
      <c r="L408" s="45"/>
      <c r="M408" s="45"/>
      <c r="N408" s="137"/>
      <c r="O408" s="137"/>
    </row>
    <row r="409" customHeight="1" spans="1:15">
      <c r="A409" s="7" t="s">
        <v>16</v>
      </c>
      <c r="B409" s="7" t="s">
        <v>228</v>
      </c>
      <c r="C409" s="8">
        <v>30</v>
      </c>
      <c r="D409" s="133">
        <v>43894</v>
      </c>
      <c r="E409" s="134">
        <v>125.99</v>
      </c>
      <c r="F409" s="134">
        <f t="shared" si="0"/>
        <v>3779.7</v>
      </c>
      <c r="G409" s="134">
        <v>0.12</v>
      </c>
      <c r="H409" s="138">
        <f t="shared" si="26"/>
        <v>1.03903953</v>
      </c>
      <c r="I409" s="138"/>
      <c r="J409" s="138">
        <f t="shared" si="1"/>
        <v>3780.85903953</v>
      </c>
      <c r="K409" s="140"/>
      <c r="L409" s="45"/>
      <c r="M409" s="45"/>
      <c r="N409" s="137"/>
      <c r="O409" s="137"/>
    </row>
    <row r="410" customHeight="1" spans="1:15">
      <c r="A410" s="3" t="s">
        <v>114</v>
      </c>
      <c r="B410" s="3" t="s">
        <v>228</v>
      </c>
      <c r="C410" s="4">
        <v>20</v>
      </c>
      <c r="D410" s="131">
        <v>43894</v>
      </c>
      <c r="E410" s="132">
        <v>109.18</v>
      </c>
      <c r="F410" s="132">
        <f t="shared" si="0"/>
        <v>2183.6</v>
      </c>
      <c r="G410" s="132">
        <v>0.07</v>
      </c>
      <c r="H410" s="67">
        <f t="shared" si="26"/>
        <v>0.60027164</v>
      </c>
      <c r="I410" s="67"/>
      <c r="J410" s="67">
        <f t="shared" si="1"/>
        <v>2184.27027164</v>
      </c>
      <c r="K410" s="45"/>
      <c r="L410" s="45"/>
      <c r="M410" s="45"/>
      <c r="N410" s="137"/>
      <c r="O410" s="137"/>
    </row>
    <row r="411" customHeight="1" spans="1:15">
      <c r="A411" s="7" t="s">
        <v>159</v>
      </c>
      <c r="B411" s="7" t="s">
        <v>228</v>
      </c>
      <c r="C411" s="8">
        <v>10</v>
      </c>
      <c r="D411" s="133">
        <v>43894</v>
      </c>
      <c r="E411" s="134">
        <v>132.5</v>
      </c>
      <c r="F411" s="134">
        <f t="shared" si="0"/>
        <v>1325</v>
      </c>
      <c r="G411" s="134">
        <v>0.04</v>
      </c>
      <c r="H411" s="138">
        <f t="shared" si="26"/>
        <v>0.3642425</v>
      </c>
      <c r="I411" s="138"/>
      <c r="J411" s="138">
        <f t="shared" si="1"/>
        <v>1325.4042425</v>
      </c>
      <c r="K411" s="140"/>
      <c r="L411" s="45"/>
      <c r="M411" s="45"/>
      <c r="N411" s="137"/>
      <c r="O411" s="137"/>
    </row>
    <row r="412" customHeight="1" spans="1:15">
      <c r="A412" s="3" t="s">
        <v>159</v>
      </c>
      <c r="B412" s="3" t="s">
        <v>228</v>
      </c>
      <c r="C412" s="4">
        <v>10</v>
      </c>
      <c r="D412" s="131">
        <v>43894</v>
      </c>
      <c r="E412" s="132">
        <v>132.49</v>
      </c>
      <c r="F412" s="132">
        <f t="shared" si="0"/>
        <v>1324.9</v>
      </c>
      <c r="G412" s="132">
        <v>0.04</v>
      </c>
      <c r="H412" s="132">
        <v>0.35</v>
      </c>
      <c r="I412" s="67"/>
      <c r="J412" s="67">
        <f t="shared" si="1"/>
        <v>1325.29</v>
      </c>
      <c r="K412" s="45"/>
      <c r="L412" s="45"/>
      <c r="M412" s="45"/>
      <c r="N412" s="137"/>
      <c r="O412" s="137"/>
    </row>
    <row r="413" customHeight="1" spans="1:15">
      <c r="A413" s="7" t="s">
        <v>16</v>
      </c>
      <c r="B413" s="7" t="s">
        <v>228</v>
      </c>
      <c r="C413" s="8">
        <v>30</v>
      </c>
      <c r="D413" s="133">
        <v>43896</v>
      </c>
      <c r="E413" s="134">
        <v>124.8</v>
      </c>
      <c r="F413" s="134">
        <f t="shared" si="0"/>
        <v>3744</v>
      </c>
      <c r="G413" s="134">
        <v>0.12</v>
      </c>
      <c r="H413" s="138">
        <f t="shared" ref="H413:H418" si="27">0.0002749*E413*C413</f>
        <v>1.0292256</v>
      </c>
      <c r="I413" s="138"/>
      <c r="J413" s="138">
        <f t="shared" si="1"/>
        <v>3745.1492256</v>
      </c>
      <c r="K413" s="140"/>
      <c r="L413" s="45"/>
      <c r="M413" s="45"/>
      <c r="N413" s="137"/>
      <c r="O413" s="137"/>
    </row>
    <row r="414" customHeight="1" spans="1:15">
      <c r="A414" s="3" t="s">
        <v>159</v>
      </c>
      <c r="B414" s="3" t="s">
        <v>228</v>
      </c>
      <c r="C414" s="4">
        <v>15</v>
      </c>
      <c r="D414" s="131">
        <v>43896</v>
      </c>
      <c r="E414" s="132">
        <v>129.5</v>
      </c>
      <c r="F414" s="132">
        <f t="shared" si="0"/>
        <v>1942.5</v>
      </c>
      <c r="G414" s="132">
        <v>0.06</v>
      </c>
      <c r="H414" s="67">
        <f t="shared" si="27"/>
        <v>0.53399325</v>
      </c>
      <c r="I414" s="67"/>
      <c r="J414" s="67">
        <f t="shared" si="1"/>
        <v>1943.09399325</v>
      </c>
      <c r="K414" s="45"/>
      <c r="L414" s="45"/>
      <c r="M414" s="45"/>
      <c r="N414" s="137"/>
      <c r="O414" s="137"/>
    </row>
    <row r="415" customHeight="1" spans="1:15">
      <c r="A415" s="7" t="s">
        <v>21</v>
      </c>
      <c r="B415" s="7" t="s">
        <v>228</v>
      </c>
      <c r="C415" s="8">
        <v>10</v>
      </c>
      <c r="D415" s="133">
        <v>43899</v>
      </c>
      <c r="E415" s="134">
        <v>171.5</v>
      </c>
      <c r="F415" s="134">
        <f t="shared" si="0"/>
        <v>1715</v>
      </c>
      <c r="G415" s="134">
        <v>0.06</v>
      </c>
      <c r="H415" s="138">
        <f t="shared" si="27"/>
        <v>0.4714535</v>
      </c>
      <c r="I415" s="138"/>
      <c r="J415" s="138">
        <f t="shared" si="1"/>
        <v>1715.5314535</v>
      </c>
      <c r="K415" s="140"/>
      <c r="L415" s="45"/>
      <c r="M415" s="45"/>
      <c r="N415" s="137"/>
      <c r="O415" s="137"/>
    </row>
    <row r="416" customHeight="1" spans="1:15">
      <c r="A416" s="3" t="s">
        <v>16</v>
      </c>
      <c r="B416" s="3" t="s">
        <v>228</v>
      </c>
      <c r="C416" s="4">
        <v>30</v>
      </c>
      <c r="D416" s="131">
        <v>43899</v>
      </c>
      <c r="E416" s="132">
        <v>121.71</v>
      </c>
      <c r="F416" s="132">
        <f t="shared" si="0"/>
        <v>3651.3</v>
      </c>
      <c r="G416" s="132">
        <v>0.12</v>
      </c>
      <c r="H416" s="67">
        <f t="shared" si="27"/>
        <v>1.00374237</v>
      </c>
      <c r="I416" s="67"/>
      <c r="J416" s="67">
        <f t="shared" si="1"/>
        <v>3652.42374237</v>
      </c>
      <c r="K416" s="45"/>
      <c r="L416" s="45"/>
      <c r="M416" s="45"/>
      <c r="N416" s="137"/>
      <c r="O416" s="137"/>
    </row>
    <row r="417" customHeight="1" spans="1:15">
      <c r="A417" s="7" t="s">
        <v>114</v>
      </c>
      <c r="B417" s="7" t="s">
        <v>228</v>
      </c>
      <c r="C417" s="8">
        <v>20</v>
      </c>
      <c r="D417" s="133">
        <v>43899</v>
      </c>
      <c r="E417" s="134">
        <v>102.27</v>
      </c>
      <c r="F417" s="134">
        <f t="shared" si="0"/>
        <v>2045.4</v>
      </c>
      <c r="G417" s="134">
        <v>0.07</v>
      </c>
      <c r="H417" s="138">
        <f t="shared" si="27"/>
        <v>0.56228046</v>
      </c>
      <c r="I417" s="138"/>
      <c r="J417" s="138">
        <f t="shared" si="1"/>
        <v>2046.03228046</v>
      </c>
      <c r="K417" s="140"/>
      <c r="L417" s="45"/>
      <c r="M417" s="45"/>
      <c r="N417" s="137"/>
      <c r="O417" s="137"/>
    </row>
    <row r="418" customHeight="1" spans="1:15">
      <c r="A418" s="3" t="s">
        <v>159</v>
      </c>
      <c r="B418" s="3" t="s">
        <v>228</v>
      </c>
      <c r="C418" s="4">
        <v>30</v>
      </c>
      <c r="D418" s="131">
        <v>43899</v>
      </c>
      <c r="E418" s="132">
        <v>124.5</v>
      </c>
      <c r="F418" s="132">
        <f t="shared" si="0"/>
        <v>3735</v>
      </c>
      <c r="G418" s="132">
        <v>0.12</v>
      </c>
      <c r="H418" s="67">
        <f t="shared" si="27"/>
        <v>1.0267515</v>
      </c>
      <c r="I418" s="67"/>
      <c r="J418" s="67">
        <f t="shared" si="1"/>
        <v>3736.1467515</v>
      </c>
      <c r="K418" s="45"/>
      <c r="L418" s="45"/>
      <c r="M418" s="45"/>
      <c r="N418" s="137"/>
      <c r="O418" s="137"/>
    </row>
    <row r="419" customHeight="1" spans="1:15">
      <c r="A419" s="7" t="s">
        <v>16</v>
      </c>
      <c r="B419" s="7" t="s">
        <v>228</v>
      </c>
      <c r="C419" s="8">
        <v>30</v>
      </c>
      <c r="D419" s="133">
        <v>43900</v>
      </c>
      <c r="E419" s="134">
        <v>122.05</v>
      </c>
      <c r="F419" s="134">
        <f t="shared" si="0"/>
        <v>3661.5</v>
      </c>
      <c r="G419" s="134">
        <v>0.11</v>
      </c>
      <c r="H419" s="134">
        <v>1</v>
      </c>
      <c r="I419" s="138"/>
      <c r="J419" s="138">
        <f t="shared" si="1"/>
        <v>3662.61</v>
      </c>
      <c r="K419" s="140"/>
      <c r="L419" s="45"/>
      <c r="M419" s="45"/>
      <c r="N419" s="137"/>
      <c r="O419" s="137"/>
    </row>
    <row r="420" customHeight="1" spans="1:15">
      <c r="A420" s="3" t="s">
        <v>21</v>
      </c>
      <c r="B420" s="3" t="s">
        <v>228</v>
      </c>
      <c r="C420" s="4">
        <v>10</v>
      </c>
      <c r="D420" s="131">
        <v>43901</v>
      </c>
      <c r="E420" s="132">
        <v>169.1</v>
      </c>
      <c r="F420" s="132">
        <f t="shared" si="0"/>
        <v>1691</v>
      </c>
      <c r="G420" s="132">
        <v>0.05</v>
      </c>
      <c r="H420" s="67">
        <f t="shared" ref="H420:H421" si="28">0.0002749*E420*C420</f>
        <v>0.4648559</v>
      </c>
      <c r="I420" s="67"/>
      <c r="J420" s="67">
        <f t="shared" si="1"/>
        <v>1691.5148559</v>
      </c>
      <c r="K420" s="45"/>
      <c r="L420" s="45"/>
      <c r="M420" s="45"/>
      <c r="N420" s="137"/>
      <c r="O420" s="137"/>
    </row>
    <row r="421" customHeight="1" spans="1:15">
      <c r="A421" s="7" t="s">
        <v>16</v>
      </c>
      <c r="B421" s="7" t="s">
        <v>228</v>
      </c>
      <c r="C421" s="8">
        <v>30</v>
      </c>
      <c r="D421" s="133">
        <v>43901</v>
      </c>
      <c r="E421" s="134">
        <v>121.49</v>
      </c>
      <c r="F421" s="134">
        <f t="shared" si="0"/>
        <v>3644.7</v>
      </c>
      <c r="G421" s="134">
        <v>0.12</v>
      </c>
      <c r="H421" s="138">
        <f t="shared" si="28"/>
        <v>1.00192803</v>
      </c>
      <c r="I421" s="138"/>
      <c r="J421" s="138">
        <f t="shared" si="1"/>
        <v>3645.82192803</v>
      </c>
      <c r="K421" s="140"/>
      <c r="L421" s="45"/>
      <c r="M421" s="45"/>
      <c r="N421" s="137"/>
      <c r="O421" s="137"/>
    </row>
    <row r="422" customHeight="1" spans="1:15">
      <c r="A422" s="3" t="s">
        <v>114</v>
      </c>
      <c r="B422" s="3" t="s">
        <v>228</v>
      </c>
      <c r="C422" s="4">
        <v>30</v>
      </c>
      <c r="D422" s="131">
        <v>43901</v>
      </c>
      <c r="E422" s="132">
        <v>103.7</v>
      </c>
      <c r="F422" s="132">
        <f t="shared" si="0"/>
        <v>3111</v>
      </c>
      <c r="G422" s="132">
        <v>0.1</v>
      </c>
      <c r="H422" s="132">
        <v>0.85</v>
      </c>
      <c r="I422" s="67"/>
      <c r="J422" s="67">
        <f t="shared" si="1"/>
        <v>3111.95</v>
      </c>
      <c r="K422" s="45"/>
      <c r="L422" s="45"/>
      <c r="M422" s="45"/>
      <c r="N422" s="137"/>
      <c r="O422" s="137"/>
    </row>
    <row r="423" customHeight="1" spans="1:15">
      <c r="A423" s="7" t="s">
        <v>159</v>
      </c>
      <c r="B423" s="7" t="s">
        <v>228</v>
      </c>
      <c r="C423" s="8">
        <v>30</v>
      </c>
      <c r="D423" s="133">
        <v>43901</v>
      </c>
      <c r="E423" s="134">
        <v>123</v>
      </c>
      <c r="F423" s="134">
        <f t="shared" si="0"/>
        <v>3690</v>
      </c>
      <c r="G423" s="134">
        <v>0.12</v>
      </c>
      <c r="H423" s="138">
        <f t="shared" ref="H423:H429" si="29">0.0002749*E423*C423</f>
        <v>1.014381</v>
      </c>
      <c r="I423" s="138"/>
      <c r="J423" s="138">
        <f t="shared" si="1"/>
        <v>3691.134381</v>
      </c>
      <c r="K423" s="140"/>
      <c r="L423" s="45"/>
      <c r="M423" s="45"/>
      <c r="N423" s="137"/>
      <c r="O423" s="137"/>
    </row>
    <row r="424" customHeight="1" spans="1:15">
      <c r="A424" s="3" t="s">
        <v>138</v>
      </c>
      <c r="B424" s="3" t="s">
        <v>228</v>
      </c>
      <c r="C424" s="4">
        <v>26</v>
      </c>
      <c r="D424" s="131">
        <v>43901</v>
      </c>
      <c r="E424" s="132">
        <v>118.59</v>
      </c>
      <c r="F424" s="132">
        <f t="shared" si="0"/>
        <v>3083.34</v>
      </c>
      <c r="G424" s="132">
        <v>0.1</v>
      </c>
      <c r="H424" s="67">
        <f t="shared" si="29"/>
        <v>0.847610166</v>
      </c>
      <c r="I424" s="67"/>
      <c r="J424" s="67">
        <f t="shared" si="1"/>
        <v>3084.287610166</v>
      </c>
      <c r="K424" s="45"/>
      <c r="L424" s="45"/>
      <c r="M424" s="45"/>
      <c r="N424" s="137"/>
      <c r="O424" s="137"/>
    </row>
    <row r="425" customHeight="1" spans="1:15">
      <c r="A425" s="7" t="s">
        <v>138</v>
      </c>
      <c r="B425" s="7" t="s">
        <v>228</v>
      </c>
      <c r="C425" s="8">
        <v>4</v>
      </c>
      <c r="D425" s="133">
        <v>43901</v>
      </c>
      <c r="E425" s="134">
        <v>118.6</v>
      </c>
      <c r="F425" s="134">
        <f t="shared" si="0"/>
        <v>474.4</v>
      </c>
      <c r="G425" s="134">
        <v>0.01</v>
      </c>
      <c r="H425" s="138">
        <f t="shared" si="29"/>
        <v>0.13041256</v>
      </c>
      <c r="I425" s="138"/>
      <c r="J425" s="138">
        <f t="shared" si="1"/>
        <v>474.54041256</v>
      </c>
      <c r="K425" s="140"/>
      <c r="L425" s="45"/>
      <c r="M425" s="45"/>
      <c r="N425" s="137"/>
      <c r="O425" s="137"/>
    </row>
    <row r="426" customHeight="1" spans="1:15">
      <c r="A426" s="3" t="s">
        <v>21</v>
      </c>
      <c r="B426" s="3" t="s">
        <v>228</v>
      </c>
      <c r="C426" s="4">
        <v>30</v>
      </c>
      <c r="D426" s="131">
        <v>43902</v>
      </c>
      <c r="E426" s="132">
        <v>156.55</v>
      </c>
      <c r="F426" s="132">
        <f t="shared" si="0"/>
        <v>4696.5</v>
      </c>
      <c r="G426" s="132">
        <v>0.15</v>
      </c>
      <c r="H426" s="67">
        <f t="shared" si="29"/>
        <v>1.29106785</v>
      </c>
      <c r="I426" s="67"/>
      <c r="J426" s="67">
        <f t="shared" si="1"/>
        <v>4697.94106785</v>
      </c>
      <c r="K426" s="45"/>
      <c r="L426" s="45"/>
      <c r="M426" s="45"/>
      <c r="N426" s="137"/>
      <c r="O426" s="137"/>
    </row>
    <row r="427" customHeight="1" spans="1:15">
      <c r="A427" s="7" t="s">
        <v>16</v>
      </c>
      <c r="B427" s="7" t="s">
        <v>228</v>
      </c>
      <c r="C427" s="8">
        <v>30</v>
      </c>
      <c r="D427" s="133">
        <v>43902</v>
      </c>
      <c r="E427" s="134">
        <v>109.35</v>
      </c>
      <c r="F427" s="134">
        <f t="shared" si="0"/>
        <v>3280.5</v>
      </c>
      <c r="G427" s="134">
        <v>0.11</v>
      </c>
      <c r="H427" s="138">
        <f t="shared" si="29"/>
        <v>0.90180945</v>
      </c>
      <c r="I427" s="138"/>
      <c r="J427" s="138">
        <f t="shared" si="1"/>
        <v>3281.51180945</v>
      </c>
      <c r="K427" s="140"/>
      <c r="L427" s="45"/>
      <c r="M427" s="45"/>
      <c r="N427" s="137"/>
      <c r="O427" s="137"/>
    </row>
    <row r="428" customHeight="1" spans="1:15">
      <c r="A428" s="3" t="s">
        <v>114</v>
      </c>
      <c r="B428" s="3" t="s">
        <v>228</v>
      </c>
      <c r="C428" s="4">
        <v>30</v>
      </c>
      <c r="D428" s="131">
        <v>43902</v>
      </c>
      <c r="E428" s="132">
        <v>93.52</v>
      </c>
      <c r="F428" s="132">
        <f t="shared" si="0"/>
        <v>2805.6</v>
      </c>
      <c r="G428" s="132">
        <v>0.09</v>
      </c>
      <c r="H428" s="67">
        <f t="shared" si="29"/>
        <v>0.77125944</v>
      </c>
      <c r="I428" s="67"/>
      <c r="J428" s="67">
        <f t="shared" si="1"/>
        <v>2806.46125944</v>
      </c>
      <c r="K428" s="45"/>
      <c r="L428" s="45"/>
      <c r="M428" s="45"/>
      <c r="N428" s="137"/>
      <c r="O428" s="137"/>
    </row>
    <row r="429" customHeight="1" spans="1:15">
      <c r="A429" s="7" t="s">
        <v>159</v>
      </c>
      <c r="B429" s="7" t="s">
        <v>228</v>
      </c>
      <c r="C429" s="8">
        <v>30</v>
      </c>
      <c r="D429" s="133">
        <v>43902</v>
      </c>
      <c r="E429" s="134">
        <v>116.52</v>
      </c>
      <c r="F429" s="134">
        <f t="shared" si="0"/>
        <v>3495.6</v>
      </c>
      <c r="G429" s="134">
        <v>0.11</v>
      </c>
      <c r="H429" s="138">
        <f t="shared" si="29"/>
        <v>0.96094044</v>
      </c>
      <c r="I429" s="138"/>
      <c r="J429" s="138">
        <f t="shared" si="1"/>
        <v>3496.67094044</v>
      </c>
      <c r="K429" s="140"/>
      <c r="L429" s="45"/>
      <c r="M429" s="45"/>
      <c r="N429" s="137"/>
      <c r="O429" s="137"/>
    </row>
    <row r="430" customHeight="1" spans="1:15">
      <c r="A430" s="3" t="s">
        <v>119</v>
      </c>
      <c r="B430" s="3" t="s">
        <v>228</v>
      </c>
      <c r="C430" s="4">
        <v>31</v>
      </c>
      <c r="D430" s="131">
        <v>43899</v>
      </c>
      <c r="E430" s="132">
        <v>112.96</v>
      </c>
      <c r="F430" s="132">
        <f t="shared" si="0"/>
        <v>3501.76</v>
      </c>
      <c r="G430" s="132">
        <v>0</v>
      </c>
      <c r="H430" s="132">
        <v>0</v>
      </c>
      <c r="I430" s="67"/>
      <c r="J430" s="67">
        <f t="shared" si="1"/>
        <v>3501.76</v>
      </c>
      <c r="K430" s="3" t="s">
        <v>230</v>
      </c>
      <c r="L430" s="45"/>
      <c r="M430" s="45"/>
      <c r="N430" s="137"/>
      <c r="O430" s="137"/>
    </row>
    <row r="431" customHeight="1" spans="1:15">
      <c r="A431" s="7" t="s">
        <v>153</v>
      </c>
      <c r="B431" s="7" t="s">
        <v>228</v>
      </c>
      <c r="C431" s="8">
        <v>10</v>
      </c>
      <c r="D431" s="133">
        <v>43871</v>
      </c>
      <c r="E431" s="134">
        <v>159.4</v>
      </c>
      <c r="F431" s="134">
        <f t="shared" si="0"/>
        <v>1594</v>
      </c>
      <c r="G431" s="134">
        <v>0.06</v>
      </c>
      <c r="H431" s="138">
        <f t="shared" ref="H431:H456" si="30">0.0002749*E431*C431</f>
        <v>0.4381906</v>
      </c>
      <c r="I431" s="138"/>
      <c r="J431" s="138">
        <f t="shared" si="1"/>
        <v>1594.4981906</v>
      </c>
      <c r="K431" s="140"/>
      <c r="L431" s="45"/>
      <c r="M431" s="45"/>
      <c r="N431" s="137"/>
      <c r="O431" s="137"/>
    </row>
    <row r="432" customHeight="1" spans="1:15">
      <c r="A432" s="3" t="s">
        <v>156</v>
      </c>
      <c r="B432" s="3" t="s">
        <v>228</v>
      </c>
      <c r="C432" s="4">
        <v>15</v>
      </c>
      <c r="D432" s="131">
        <v>43871</v>
      </c>
      <c r="E432" s="132">
        <v>113.9</v>
      </c>
      <c r="F432" s="132">
        <f t="shared" si="0"/>
        <v>1708.5</v>
      </c>
      <c r="G432" s="132">
        <v>0.06</v>
      </c>
      <c r="H432" s="67">
        <f t="shared" si="30"/>
        <v>0.46966665</v>
      </c>
      <c r="I432" s="67"/>
      <c r="J432" s="67">
        <f t="shared" si="1"/>
        <v>1709.02966665</v>
      </c>
      <c r="K432" s="45"/>
      <c r="L432" s="45"/>
      <c r="M432" s="45"/>
      <c r="N432" s="137"/>
      <c r="O432" s="137"/>
    </row>
    <row r="433" customHeight="1" spans="1:15">
      <c r="A433" s="7" t="s">
        <v>15</v>
      </c>
      <c r="B433" s="7" t="s">
        <v>228</v>
      </c>
      <c r="C433" s="8">
        <v>15</v>
      </c>
      <c r="D433" s="133">
        <v>43871</v>
      </c>
      <c r="E433" s="134">
        <v>182.61</v>
      </c>
      <c r="F433" s="134">
        <f t="shared" si="0"/>
        <v>2739.15</v>
      </c>
      <c r="G433" s="134">
        <v>0.09</v>
      </c>
      <c r="H433" s="138">
        <f t="shared" si="30"/>
        <v>0.752992335</v>
      </c>
      <c r="I433" s="138"/>
      <c r="J433" s="138">
        <f t="shared" si="1"/>
        <v>2739.992992335</v>
      </c>
      <c r="K433" s="140"/>
      <c r="L433" s="45"/>
      <c r="M433" s="45"/>
      <c r="N433" s="137"/>
      <c r="O433" s="137"/>
    </row>
    <row r="434" customHeight="1" spans="1:15">
      <c r="A434" s="3" t="s">
        <v>21</v>
      </c>
      <c r="B434" s="3" t="s">
        <v>228</v>
      </c>
      <c r="C434" s="4">
        <v>15</v>
      </c>
      <c r="D434" s="131">
        <v>43871</v>
      </c>
      <c r="E434" s="132">
        <v>189.63</v>
      </c>
      <c r="F434" s="132">
        <f t="shared" si="0"/>
        <v>2844.45</v>
      </c>
      <c r="G434" s="132">
        <v>0.1</v>
      </c>
      <c r="H434" s="67">
        <f t="shared" si="30"/>
        <v>0.781939305</v>
      </c>
      <c r="I434" s="67"/>
      <c r="J434" s="67">
        <f t="shared" si="1"/>
        <v>2845.331939305</v>
      </c>
      <c r="K434" s="45"/>
      <c r="L434" s="45"/>
      <c r="M434" s="45"/>
      <c r="N434" s="137"/>
      <c r="O434" s="137"/>
    </row>
    <row r="435" customHeight="1" spans="1:15">
      <c r="A435" s="7" t="s">
        <v>13</v>
      </c>
      <c r="B435" s="7" t="s">
        <v>228</v>
      </c>
      <c r="C435" s="8">
        <v>10</v>
      </c>
      <c r="D435" s="133">
        <v>43871</v>
      </c>
      <c r="E435" s="134">
        <v>127.5</v>
      </c>
      <c r="F435" s="134">
        <f t="shared" si="0"/>
        <v>1275</v>
      </c>
      <c r="G435" s="134">
        <v>0.05</v>
      </c>
      <c r="H435" s="138">
        <f t="shared" si="30"/>
        <v>0.3504975</v>
      </c>
      <c r="I435" s="138"/>
      <c r="J435" s="138">
        <f t="shared" si="1"/>
        <v>1275.4004975</v>
      </c>
      <c r="K435" s="140"/>
      <c r="L435" s="45"/>
      <c r="M435" s="45"/>
      <c r="N435" s="137"/>
      <c r="O435" s="137"/>
    </row>
    <row r="436" customHeight="1" spans="1:15">
      <c r="A436" s="3" t="s">
        <v>13</v>
      </c>
      <c r="B436" s="3" t="s">
        <v>228</v>
      </c>
      <c r="C436" s="4">
        <v>5</v>
      </c>
      <c r="D436" s="131">
        <v>43871</v>
      </c>
      <c r="E436" s="132">
        <v>127</v>
      </c>
      <c r="F436" s="132">
        <f t="shared" si="0"/>
        <v>635</v>
      </c>
      <c r="G436" s="132">
        <v>0.02</v>
      </c>
      <c r="H436" s="67">
        <f t="shared" si="30"/>
        <v>0.1745615</v>
      </c>
      <c r="I436" s="67"/>
      <c r="J436" s="67">
        <f t="shared" si="1"/>
        <v>635.1945615</v>
      </c>
      <c r="K436" s="45"/>
      <c r="L436" s="45"/>
      <c r="M436" s="45"/>
      <c r="N436" s="137"/>
      <c r="O436" s="137"/>
    </row>
    <row r="437" customHeight="1" spans="1:15">
      <c r="A437" s="7" t="s">
        <v>114</v>
      </c>
      <c r="B437" s="7" t="s">
        <v>228</v>
      </c>
      <c r="C437" s="8">
        <v>15</v>
      </c>
      <c r="D437" s="133">
        <v>43871</v>
      </c>
      <c r="E437" s="134">
        <v>113.45</v>
      </c>
      <c r="F437" s="134">
        <f t="shared" si="0"/>
        <v>1701.75</v>
      </c>
      <c r="G437" s="134">
        <v>0.06</v>
      </c>
      <c r="H437" s="138">
        <f t="shared" si="30"/>
        <v>0.467811075</v>
      </c>
      <c r="I437" s="138"/>
      <c r="J437" s="138">
        <f t="shared" si="1"/>
        <v>1702.277811075</v>
      </c>
      <c r="K437" s="140"/>
      <c r="L437" s="45"/>
      <c r="M437" s="45"/>
      <c r="N437" s="137"/>
      <c r="O437" s="137"/>
    </row>
    <row r="438" customHeight="1" spans="1:15">
      <c r="A438" s="3" t="s">
        <v>159</v>
      </c>
      <c r="B438" s="3" t="s">
        <v>228</v>
      </c>
      <c r="C438" s="4">
        <v>15</v>
      </c>
      <c r="D438" s="131">
        <v>43871</v>
      </c>
      <c r="E438" s="132">
        <v>132.69</v>
      </c>
      <c r="F438" s="132">
        <f t="shared" si="0"/>
        <v>1990.35</v>
      </c>
      <c r="G438" s="132">
        <v>0.07</v>
      </c>
      <c r="H438" s="67">
        <f t="shared" si="30"/>
        <v>0.547147215</v>
      </c>
      <c r="I438" s="67"/>
      <c r="J438" s="67">
        <f t="shared" si="1"/>
        <v>1990.967147215</v>
      </c>
      <c r="K438" s="45"/>
      <c r="L438" s="45"/>
      <c r="M438" s="45"/>
      <c r="N438" s="137"/>
      <c r="O438" s="137"/>
    </row>
    <row r="439" customHeight="1" spans="1:15">
      <c r="A439" s="7" t="s">
        <v>138</v>
      </c>
      <c r="B439" s="7" t="s">
        <v>228</v>
      </c>
      <c r="C439" s="8">
        <v>15</v>
      </c>
      <c r="D439" s="133">
        <v>43871</v>
      </c>
      <c r="E439" s="134">
        <v>134.19</v>
      </c>
      <c r="F439" s="134">
        <f t="shared" si="0"/>
        <v>2012.85</v>
      </c>
      <c r="G439" s="134">
        <v>0.07</v>
      </c>
      <c r="H439" s="138">
        <f t="shared" si="30"/>
        <v>0.553332465</v>
      </c>
      <c r="I439" s="138"/>
      <c r="J439" s="138">
        <f t="shared" si="1"/>
        <v>2013.473332465</v>
      </c>
      <c r="K439" s="140"/>
      <c r="L439" s="45"/>
      <c r="M439" s="45"/>
      <c r="N439" s="137"/>
      <c r="O439" s="137"/>
    </row>
    <row r="440" customHeight="1" spans="1:15">
      <c r="A440" s="3" t="s">
        <v>37</v>
      </c>
      <c r="B440" s="3" t="s">
        <v>228</v>
      </c>
      <c r="C440" s="4">
        <v>10</v>
      </c>
      <c r="D440" s="131">
        <v>43873</v>
      </c>
      <c r="E440" s="132">
        <v>282.99</v>
      </c>
      <c r="F440" s="132">
        <f t="shared" si="0"/>
        <v>2829.9</v>
      </c>
      <c r="G440" s="132">
        <v>0.11</v>
      </c>
      <c r="H440" s="67">
        <f t="shared" si="30"/>
        <v>0.77793951</v>
      </c>
      <c r="I440" s="67"/>
      <c r="J440" s="67">
        <f t="shared" si="1"/>
        <v>2830.78793951</v>
      </c>
      <c r="K440" s="45"/>
      <c r="L440" s="45"/>
      <c r="M440" s="45"/>
      <c r="N440" s="137"/>
      <c r="O440" s="137"/>
    </row>
    <row r="441" customHeight="1" spans="1:15">
      <c r="A441" s="7" t="s">
        <v>37</v>
      </c>
      <c r="B441" s="7" t="s">
        <v>228</v>
      </c>
      <c r="C441" s="8">
        <v>5</v>
      </c>
      <c r="D441" s="133">
        <v>43873</v>
      </c>
      <c r="E441" s="134">
        <v>283</v>
      </c>
      <c r="F441" s="134">
        <f t="shared" si="0"/>
        <v>1415</v>
      </c>
      <c r="G441" s="134">
        <v>0.03</v>
      </c>
      <c r="H441" s="138">
        <f t="shared" si="30"/>
        <v>0.3889835</v>
      </c>
      <c r="I441" s="138"/>
      <c r="J441" s="138">
        <f t="shared" si="1"/>
        <v>1415.4189835</v>
      </c>
      <c r="K441" s="140"/>
      <c r="L441" s="45"/>
      <c r="M441" s="45"/>
      <c r="N441" s="137"/>
      <c r="O441" s="137"/>
    </row>
    <row r="442" customHeight="1" spans="1:15">
      <c r="A442" s="3" t="s">
        <v>156</v>
      </c>
      <c r="B442" s="3" t="s">
        <v>228</v>
      </c>
      <c r="C442" s="4">
        <v>15</v>
      </c>
      <c r="D442" s="131">
        <v>43873</v>
      </c>
      <c r="E442" s="132">
        <v>113.58</v>
      </c>
      <c r="F442" s="132">
        <f t="shared" si="0"/>
        <v>1703.7</v>
      </c>
      <c r="G442" s="132">
        <v>0.06</v>
      </c>
      <c r="H442" s="67">
        <f t="shared" si="30"/>
        <v>0.46834713</v>
      </c>
      <c r="I442" s="67"/>
      <c r="J442" s="67">
        <f t="shared" si="1"/>
        <v>1704.22834713</v>
      </c>
      <c r="K442" s="45"/>
      <c r="L442" s="45"/>
      <c r="M442" s="45"/>
      <c r="N442" s="137"/>
      <c r="O442" s="137"/>
    </row>
    <row r="443" customHeight="1" spans="1:15">
      <c r="A443" s="7" t="s">
        <v>21</v>
      </c>
      <c r="B443" s="7" t="s">
        <v>228</v>
      </c>
      <c r="C443" s="8">
        <v>15</v>
      </c>
      <c r="D443" s="133">
        <v>43873</v>
      </c>
      <c r="E443" s="134">
        <v>194.99</v>
      </c>
      <c r="F443" s="134">
        <f t="shared" si="0"/>
        <v>2924.85</v>
      </c>
      <c r="G443" s="134">
        <v>0.1</v>
      </c>
      <c r="H443" s="138">
        <f t="shared" si="30"/>
        <v>0.804041265</v>
      </c>
      <c r="I443" s="138"/>
      <c r="J443" s="138">
        <f t="shared" si="1"/>
        <v>2925.754041265</v>
      </c>
      <c r="K443" s="140"/>
      <c r="L443" s="45"/>
      <c r="M443" s="45"/>
      <c r="N443" s="137"/>
      <c r="O443" s="137"/>
    </row>
    <row r="444" customHeight="1" spans="1:15">
      <c r="A444" s="3" t="s">
        <v>114</v>
      </c>
      <c r="B444" s="3" t="s">
        <v>228</v>
      </c>
      <c r="C444" s="4">
        <v>10</v>
      </c>
      <c r="D444" s="131">
        <v>43873</v>
      </c>
      <c r="E444" s="132">
        <v>114.02</v>
      </c>
      <c r="F444" s="132">
        <f t="shared" si="0"/>
        <v>1140.2</v>
      </c>
      <c r="G444" s="132">
        <v>0.04</v>
      </c>
      <c r="H444" s="67">
        <f t="shared" si="30"/>
        <v>0.31344098</v>
      </c>
      <c r="I444" s="67"/>
      <c r="J444" s="67">
        <f t="shared" si="1"/>
        <v>1140.55344098</v>
      </c>
      <c r="K444" s="45"/>
      <c r="L444" s="45"/>
      <c r="M444" s="45"/>
      <c r="N444" s="137"/>
      <c r="O444" s="137"/>
    </row>
    <row r="445" customHeight="1" spans="1:15">
      <c r="A445" s="7" t="s">
        <v>119</v>
      </c>
      <c r="B445" s="7" t="s">
        <v>228</v>
      </c>
      <c r="C445" s="8">
        <v>10</v>
      </c>
      <c r="D445" s="133">
        <v>43875</v>
      </c>
      <c r="E445" s="134">
        <v>117.04</v>
      </c>
      <c r="F445" s="134">
        <f t="shared" si="0"/>
        <v>1170.4</v>
      </c>
      <c r="G445" s="134">
        <v>0.04</v>
      </c>
      <c r="H445" s="138">
        <f t="shared" si="30"/>
        <v>0.32174296</v>
      </c>
      <c r="I445" s="138"/>
      <c r="J445" s="138">
        <f t="shared" si="1"/>
        <v>1170.76174296</v>
      </c>
      <c r="K445" s="140"/>
      <c r="L445" s="45"/>
      <c r="M445" s="45"/>
      <c r="N445" s="137"/>
      <c r="O445" s="137"/>
    </row>
    <row r="446" customHeight="1" spans="1:15">
      <c r="A446" s="3" t="s">
        <v>16</v>
      </c>
      <c r="B446" s="3" t="s">
        <v>228</v>
      </c>
      <c r="C446" s="4">
        <v>10</v>
      </c>
      <c r="D446" s="131">
        <v>43875</v>
      </c>
      <c r="E446" s="132">
        <v>118.99</v>
      </c>
      <c r="F446" s="132">
        <f t="shared" si="0"/>
        <v>1189.9</v>
      </c>
      <c r="G446" s="132">
        <v>0.04</v>
      </c>
      <c r="H446" s="67">
        <f t="shared" si="30"/>
        <v>0.32710351</v>
      </c>
      <c r="I446" s="67"/>
      <c r="J446" s="67">
        <f t="shared" si="1"/>
        <v>1190.26710351</v>
      </c>
      <c r="K446" s="45"/>
      <c r="L446" s="45"/>
      <c r="M446" s="45"/>
      <c r="N446" s="137"/>
      <c r="O446" s="137"/>
    </row>
    <row r="447" customHeight="1" spans="1:15">
      <c r="A447" s="7" t="s">
        <v>13</v>
      </c>
      <c r="B447" s="7" t="s">
        <v>228</v>
      </c>
      <c r="C447" s="8">
        <v>10</v>
      </c>
      <c r="D447" s="133">
        <v>43875</v>
      </c>
      <c r="E447" s="134">
        <v>132</v>
      </c>
      <c r="F447" s="134">
        <f t="shared" si="0"/>
        <v>1320</v>
      </c>
      <c r="G447" s="134">
        <v>0.04</v>
      </c>
      <c r="H447" s="138">
        <f t="shared" si="30"/>
        <v>0.362868</v>
      </c>
      <c r="I447" s="138"/>
      <c r="J447" s="138">
        <f t="shared" si="1"/>
        <v>1320.402868</v>
      </c>
      <c r="K447" s="140"/>
      <c r="L447" s="45"/>
      <c r="M447" s="45"/>
      <c r="N447" s="137"/>
      <c r="O447" s="137"/>
    </row>
    <row r="448" customHeight="1" spans="1:15">
      <c r="A448" s="3" t="s">
        <v>119</v>
      </c>
      <c r="B448" s="3" t="s">
        <v>228</v>
      </c>
      <c r="C448" s="4">
        <v>20</v>
      </c>
      <c r="D448" s="131">
        <v>43878</v>
      </c>
      <c r="E448" s="132">
        <v>116.85</v>
      </c>
      <c r="F448" s="132">
        <f t="shared" si="0"/>
        <v>2337</v>
      </c>
      <c r="G448" s="132">
        <v>0.08</v>
      </c>
      <c r="H448" s="67">
        <f t="shared" si="30"/>
        <v>0.6424413</v>
      </c>
      <c r="I448" s="67"/>
      <c r="J448" s="67">
        <f t="shared" si="1"/>
        <v>2337.7224413</v>
      </c>
      <c r="K448" s="45"/>
      <c r="L448" s="45"/>
      <c r="M448" s="45"/>
      <c r="N448" s="137"/>
      <c r="O448" s="137"/>
    </row>
    <row r="449" customHeight="1" spans="1:15">
      <c r="A449" s="7" t="s">
        <v>37</v>
      </c>
      <c r="B449" s="7" t="s">
        <v>228</v>
      </c>
      <c r="C449" s="8">
        <v>5</v>
      </c>
      <c r="D449" s="133">
        <v>43878</v>
      </c>
      <c r="E449" s="134">
        <v>283.2</v>
      </c>
      <c r="F449" s="134">
        <f t="shared" si="0"/>
        <v>1416</v>
      </c>
      <c r="G449" s="134">
        <v>0.05</v>
      </c>
      <c r="H449" s="138">
        <f t="shared" si="30"/>
        <v>0.3892584</v>
      </c>
      <c r="I449" s="138"/>
      <c r="J449" s="138">
        <f t="shared" si="1"/>
        <v>1416.4392584</v>
      </c>
      <c r="K449" s="140"/>
      <c r="L449" s="45"/>
      <c r="M449" s="45"/>
      <c r="N449" s="137"/>
      <c r="O449" s="137"/>
    </row>
    <row r="450" customHeight="1" spans="1:15">
      <c r="A450" s="3" t="s">
        <v>156</v>
      </c>
      <c r="B450" s="3" t="s">
        <v>228</v>
      </c>
      <c r="C450" s="4">
        <v>15</v>
      </c>
      <c r="D450" s="131">
        <v>43878</v>
      </c>
      <c r="E450" s="132">
        <v>116.89</v>
      </c>
      <c r="F450" s="132">
        <f t="shared" si="0"/>
        <v>1753.35</v>
      </c>
      <c r="G450" s="132">
        <v>0.06</v>
      </c>
      <c r="H450" s="67">
        <f t="shared" si="30"/>
        <v>0.481995915</v>
      </c>
      <c r="I450" s="67"/>
      <c r="J450" s="67">
        <f t="shared" si="1"/>
        <v>1753.891995915</v>
      </c>
      <c r="K450" s="45"/>
      <c r="L450" s="45"/>
      <c r="M450" s="45"/>
      <c r="N450" s="137"/>
      <c r="O450" s="137"/>
    </row>
    <row r="451" customHeight="1" spans="1:15">
      <c r="A451" s="7" t="s">
        <v>156</v>
      </c>
      <c r="B451" s="7" t="s">
        <v>228</v>
      </c>
      <c r="C451" s="8">
        <v>5</v>
      </c>
      <c r="D451" s="133">
        <v>43878</v>
      </c>
      <c r="E451" s="134">
        <v>116.86</v>
      </c>
      <c r="F451" s="134">
        <f t="shared" si="0"/>
        <v>584.3</v>
      </c>
      <c r="G451" s="134">
        <v>0.02</v>
      </c>
      <c r="H451" s="138">
        <f t="shared" si="30"/>
        <v>0.16062407</v>
      </c>
      <c r="I451" s="138"/>
      <c r="J451" s="138">
        <f t="shared" si="1"/>
        <v>584.48062407</v>
      </c>
      <c r="K451" s="140"/>
      <c r="L451" s="45"/>
      <c r="M451" s="45"/>
      <c r="N451" s="137"/>
      <c r="O451" s="137"/>
    </row>
    <row r="452" customHeight="1" spans="1:15">
      <c r="A452" s="3" t="s">
        <v>15</v>
      </c>
      <c r="B452" s="3" t="s">
        <v>228</v>
      </c>
      <c r="C452" s="4">
        <v>10</v>
      </c>
      <c r="D452" s="131">
        <v>43878</v>
      </c>
      <c r="E452" s="132">
        <v>189.3</v>
      </c>
      <c r="F452" s="132">
        <f t="shared" si="0"/>
        <v>1893</v>
      </c>
      <c r="G452" s="132">
        <v>0.05</v>
      </c>
      <c r="H452" s="67">
        <f t="shared" si="30"/>
        <v>0.5203857</v>
      </c>
      <c r="I452" s="67"/>
      <c r="J452" s="67">
        <f t="shared" si="1"/>
        <v>1893.5703857</v>
      </c>
      <c r="K452" s="45"/>
      <c r="L452" s="45"/>
      <c r="M452" s="45"/>
      <c r="N452" s="137"/>
      <c r="O452" s="137"/>
    </row>
    <row r="453" customHeight="1" spans="1:15">
      <c r="A453" s="7" t="s">
        <v>15</v>
      </c>
      <c r="B453" s="7" t="s">
        <v>228</v>
      </c>
      <c r="C453" s="8">
        <v>20</v>
      </c>
      <c r="D453" s="133">
        <v>43878</v>
      </c>
      <c r="E453" s="134">
        <v>189.31</v>
      </c>
      <c r="F453" s="134">
        <f t="shared" si="0"/>
        <v>3786.2</v>
      </c>
      <c r="G453" s="134">
        <v>0.14</v>
      </c>
      <c r="H453" s="138">
        <f t="shared" si="30"/>
        <v>1.04082638</v>
      </c>
      <c r="I453" s="138"/>
      <c r="J453" s="138">
        <f t="shared" si="1"/>
        <v>3787.38082638</v>
      </c>
      <c r="K453" s="140"/>
      <c r="L453" s="45"/>
      <c r="M453" s="45"/>
      <c r="N453" s="137"/>
      <c r="O453" s="137"/>
    </row>
    <row r="454" customHeight="1" spans="1:15">
      <c r="A454" s="3" t="s">
        <v>16</v>
      </c>
      <c r="B454" s="3" t="s">
        <v>228</v>
      </c>
      <c r="C454" s="4">
        <v>20</v>
      </c>
      <c r="D454" s="131">
        <v>43878</v>
      </c>
      <c r="E454" s="132">
        <v>119.61</v>
      </c>
      <c r="F454" s="132">
        <f t="shared" si="0"/>
        <v>2392.2</v>
      </c>
      <c r="G454" s="132">
        <v>0.08</v>
      </c>
      <c r="H454" s="67">
        <f t="shared" si="30"/>
        <v>0.65761578</v>
      </c>
      <c r="I454" s="67"/>
      <c r="J454" s="67">
        <f t="shared" si="1"/>
        <v>2392.93761578</v>
      </c>
      <c r="K454" s="45"/>
      <c r="L454" s="45"/>
      <c r="M454" s="45"/>
      <c r="N454" s="137"/>
      <c r="O454" s="137"/>
    </row>
    <row r="455" customHeight="1" spans="1:15">
      <c r="A455" s="7" t="s">
        <v>114</v>
      </c>
      <c r="B455" s="7" t="s">
        <v>228</v>
      </c>
      <c r="C455" s="8">
        <v>20</v>
      </c>
      <c r="D455" s="133">
        <v>43878</v>
      </c>
      <c r="E455" s="134">
        <v>114.49</v>
      </c>
      <c r="F455" s="134">
        <f t="shared" si="0"/>
        <v>2289.8</v>
      </c>
      <c r="G455" s="134">
        <v>0.08</v>
      </c>
      <c r="H455" s="138">
        <f t="shared" si="30"/>
        <v>0.62946602</v>
      </c>
      <c r="I455" s="138"/>
      <c r="J455" s="138">
        <f t="shared" si="1"/>
        <v>2290.50946602</v>
      </c>
      <c r="K455" s="140"/>
      <c r="L455" s="45"/>
      <c r="M455" s="45"/>
      <c r="N455" s="137"/>
      <c r="O455" s="137"/>
    </row>
    <row r="456" customHeight="1" spans="1:15">
      <c r="A456" s="3" t="s">
        <v>16</v>
      </c>
      <c r="B456" s="3" t="s">
        <v>228</v>
      </c>
      <c r="C456" s="4">
        <v>10</v>
      </c>
      <c r="D456" s="131">
        <v>43881</v>
      </c>
      <c r="E456" s="132">
        <v>119.4</v>
      </c>
      <c r="F456" s="132">
        <f t="shared" si="0"/>
        <v>1194</v>
      </c>
      <c r="G456" s="132">
        <v>0.04</v>
      </c>
      <c r="H456" s="67">
        <f t="shared" si="30"/>
        <v>0.3282306</v>
      </c>
      <c r="I456" s="67"/>
      <c r="J456" s="67">
        <f t="shared" si="1"/>
        <v>1194.3682306</v>
      </c>
      <c r="K456" s="45"/>
      <c r="L456" s="45"/>
      <c r="M456" s="45"/>
      <c r="N456" s="137"/>
      <c r="O456" s="137"/>
    </row>
    <row r="457" customHeight="1" spans="1:15">
      <c r="A457" s="7" t="s">
        <v>114</v>
      </c>
      <c r="B457" s="7" t="s">
        <v>228</v>
      </c>
      <c r="C457" s="8">
        <v>15</v>
      </c>
      <c r="D457" s="133">
        <v>43881</v>
      </c>
      <c r="E457" s="134">
        <v>110.5</v>
      </c>
      <c r="F457" s="134">
        <f t="shared" si="0"/>
        <v>1657.5</v>
      </c>
      <c r="G457" s="134">
        <v>0.05</v>
      </c>
      <c r="H457" s="134">
        <v>0.45</v>
      </c>
      <c r="I457" s="138"/>
      <c r="J457" s="138">
        <f t="shared" si="1"/>
        <v>1658</v>
      </c>
      <c r="K457" s="140"/>
      <c r="L457" s="45"/>
      <c r="M457" s="45"/>
      <c r="N457" s="137"/>
      <c r="O457" s="137"/>
    </row>
    <row r="458" customHeight="1" spans="1:15">
      <c r="A458" s="3" t="s">
        <v>21</v>
      </c>
      <c r="B458" s="3" t="s">
        <v>228</v>
      </c>
      <c r="C458" s="4">
        <v>20</v>
      </c>
      <c r="D458" s="131">
        <v>43887</v>
      </c>
      <c r="E458" s="132">
        <v>177.62</v>
      </c>
      <c r="F458" s="132">
        <f t="shared" si="0"/>
        <v>3552.4</v>
      </c>
      <c r="G458" s="132">
        <v>0.12</v>
      </c>
      <c r="H458" s="67">
        <f t="shared" ref="H458:H471" si="31">0.0002749*E458*C458</f>
        <v>0.97655476</v>
      </c>
      <c r="I458" s="67"/>
      <c r="J458" s="67">
        <f t="shared" si="1"/>
        <v>3553.49655476</v>
      </c>
      <c r="K458" s="45"/>
      <c r="L458" s="45"/>
      <c r="M458" s="45"/>
      <c r="N458" s="137"/>
      <c r="O458" s="137"/>
    </row>
    <row r="459" customHeight="1" spans="1:15">
      <c r="A459" s="7" t="s">
        <v>13</v>
      </c>
      <c r="B459" s="7" t="s">
        <v>228</v>
      </c>
      <c r="C459" s="8">
        <v>20</v>
      </c>
      <c r="D459" s="133">
        <v>43887</v>
      </c>
      <c r="E459" s="134">
        <v>125</v>
      </c>
      <c r="F459" s="134">
        <f t="shared" si="0"/>
        <v>2500</v>
      </c>
      <c r="G459" s="134">
        <v>0.09</v>
      </c>
      <c r="H459" s="138">
        <f t="shared" si="31"/>
        <v>0.68725</v>
      </c>
      <c r="I459" s="138"/>
      <c r="J459" s="138">
        <f t="shared" si="1"/>
        <v>2500.77725</v>
      </c>
      <c r="K459" s="140"/>
      <c r="L459" s="45"/>
      <c r="M459" s="45"/>
      <c r="N459" s="137"/>
      <c r="O459" s="137"/>
    </row>
    <row r="460" customHeight="1" spans="1:15">
      <c r="A460" s="3" t="s">
        <v>114</v>
      </c>
      <c r="B460" s="3" t="s">
        <v>228</v>
      </c>
      <c r="C460" s="4">
        <v>10</v>
      </c>
      <c r="D460" s="131">
        <v>43887</v>
      </c>
      <c r="E460" s="132">
        <v>108.65</v>
      </c>
      <c r="F460" s="132">
        <f t="shared" si="0"/>
        <v>1086.5</v>
      </c>
      <c r="G460" s="132">
        <v>0.04</v>
      </c>
      <c r="H460" s="67">
        <f t="shared" si="31"/>
        <v>0.29867885</v>
      </c>
      <c r="I460" s="67"/>
      <c r="J460" s="67">
        <f t="shared" si="1"/>
        <v>1086.83867885</v>
      </c>
      <c r="K460" s="45"/>
      <c r="L460" s="45"/>
      <c r="M460" s="45"/>
      <c r="N460" s="137"/>
      <c r="O460" s="137"/>
    </row>
    <row r="461" customHeight="1" spans="1:15">
      <c r="A461" s="7" t="s">
        <v>114</v>
      </c>
      <c r="B461" s="7" t="s">
        <v>228</v>
      </c>
      <c r="C461" s="8">
        <v>15</v>
      </c>
      <c r="D461" s="133">
        <v>43887</v>
      </c>
      <c r="E461" s="134">
        <v>108.82</v>
      </c>
      <c r="F461" s="134">
        <f t="shared" si="0"/>
        <v>1632.3</v>
      </c>
      <c r="G461" s="134">
        <v>0.05</v>
      </c>
      <c r="H461" s="138">
        <f t="shared" si="31"/>
        <v>0.44871927</v>
      </c>
      <c r="I461" s="138"/>
      <c r="J461" s="138">
        <f t="shared" si="1"/>
        <v>1632.79871927</v>
      </c>
      <c r="K461" s="140"/>
      <c r="L461" s="45"/>
      <c r="M461" s="45"/>
      <c r="N461" s="137"/>
      <c r="O461" s="137"/>
    </row>
    <row r="462" customHeight="1" spans="1:15">
      <c r="A462" s="3" t="s">
        <v>159</v>
      </c>
      <c r="B462" s="3" t="s">
        <v>228</v>
      </c>
      <c r="C462" s="4">
        <v>16</v>
      </c>
      <c r="D462" s="131">
        <v>43887</v>
      </c>
      <c r="E462" s="132">
        <v>131</v>
      </c>
      <c r="F462" s="132">
        <f t="shared" si="0"/>
        <v>2096</v>
      </c>
      <c r="G462" s="132">
        <v>0.07</v>
      </c>
      <c r="H462" s="67">
        <f t="shared" si="31"/>
        <v>0.5761904</v>
      </c>
      <c r="I462" s="67"/>
      <c r="J462" s="67">
        <f t="shared" si="1"/>
        <v>2096.6461904</v>
      </c>
      <c r="K462" s="45"/>
      <c r="L462" s="45"/>
      <c r="M462" s="45"/>
      <c r="N462" s="137"/>
      <c r="O462" s="137"/>
    </row>
    <row r="463" customHeight="1" spans="1:15">
      <c r="A463" s="7" t="s">
        <v>159</v>
      </c>
      <c r="B463" s="7" t="s">
        <v>228</v>
      </c>
      <c r="C463" s="8">
        <v>4</v>
      </c>
      <c r="D463" s="133">
        <v>43887</v>
      </c>
      <c r="E463" s="134">
        <v>130.99</v>
      </c>
      <c r="F463" s="134">
        <f t="shared" si="0"/>
        <v>523.96</v>
      </c>
      <c r="G463" s="138">
        <f>0.00004316*E463*C463</f>
        <v>0.0226141136</v>
      </c>
      <c r="H463" s="138">
        <f t="shared" si="31"/>
        <v>0.144036604</v>
      </c>
      <c r="I463" s="138"/>
      <c r="J463" s="138">
        <f t="shared" si="1"/>
        <v>524.1266507176</v>
      </c>
      <c r="K463" s="140"/>
      <c r="L463" s="45"/>
      <c r="M463" s="45"/>
      <c r="N463" s="137"/>
      <c r="O463" s="137"/>
    </row>
    <row r="464" customHeight="1" spans="1:15">
      <c r="A464" s="3" t="s">
        <v>21</v>
      </c>
      <c r="B464" s="3" t="s">
        <v>228</v>
      </c>
      <c r="C464" s="4">
        <v>30</v>
      </c>
      <c r="D464" s="131">
        <v>43888</v>
      </c>
      <c r="E464" s="132">
        <v>176.29</v>
      </c>
      <c r="F464" s="132">
        <f t="shared" si="0"/>
        <v>5288.7</v>
      </c>
      <c r="G464" s="132">
        <v>0.18</v>
      </c>
      <c r="H464" s="67">
        <f t="shared" si="31"/>
        <v>1.45386363</v>
      </c>
      <c r="I464" s="67"/>
      <c r="J464" s="67">
        <f t="shared" si="1"/>
        <v>5290.33386363</v>
      </c>
      <c r="K464" s="45"/>
      <c r="L464" s="45"/>
      <c r="M464" s="45"/>
      <c r="N464" s="137"/>
      <c r="O464" s="137"/>
    </row>
    <row r="465" customHeight="1" spans="1:15">
      <c r="A465" s="7" t="s">
        <v>159</v>
      </c>
      <c r="B465" s="7" t="s">
        <v>228</v>
      </c>
      <c r="C465" s="8">
        <v>30</v>
      </c>
      <c r="D465" s="133">
        <v>43888</v>
      </c>
      <c r="E465" s="134">
        <v>130.4</v>
      </c>
      <c r="F465" s="134">
        <f t="shared" si="0"/>
        <v>3912</v>
      </c>
      <c r="G465" s="134">
        <v>0.13</v>
      </c>
      <c r="H465" s="138">
        <f t="shared" si="31"/>
        <v>1.0754088</v>
      </c>
      <c r="I465" s="138"/>
      <c r="J465" s="138">
        <f t="shared" si="1"/>
        <v>3913.2054088</v>
      </c>
      <c r="K465" s="140"/>
      <c r="L465" s="45"/>
      <c r="M465" s="45"/>
      <c r="N465" s="137"/>
      <c r="O465" s="137"/>
    </row>
    <row r="466" customHeight="1" spans="1:15">
      <c r="A466" s="3" t="s">
        <v>156</v>
      </c>
      <c r="B466" s="3" t="s">
        <v>228</v>
      </c>
      <c r="C466" s="4">
        <v>15</v>
      </c>
      <c r="D466" s="131">
        <v>43889</v>
      </c>
      <c r="E466" s="132">
        <v>113.56</v>
      </c>
      <c r="F466" s="132">
        <f t="shared" si="0"/>
        <v>1703.4</v>
      </c>
      <c r="G466" s="132">
        <v>0.06</v>
      </c>
      <c r="H466" s="67">
        <f t="shared" si="31"/>
        <v>0.46826466</v>
      </c>
      <c r="I466" s="67"/>
      <c r="J466" s="67">
        <f t="shared" si="1"/>
        <v>1703.92826466</v>
      </c>
      <c r="K466" s="45"/>
      <c r="L466" s="45"/>
      <c r="M466" s="45"/>
      <c r="N466" s="137"/>
      <c r="O466" s="137"/>
    </row>
    <row r="467" customHeight="1" spans="1:15">
      <c r="A467" s="7" t="s">
        <v>15</v>
      </c>
      <c r="B467" s="7" t="s">
        <v>228</v>
      </c>
      <c r="C467" s="8">
        <v>30</v>
      </c>
      <c r="D467" s="133">
        <v>43889</v>
      </c>
      <c r="E467" s="134">
        <v>179.6</v>
      </c>
      <c r="F467" s="134">
        <f t="shared" si="0"/>
        <v>5388</v>
      </c>
      <c r="G467" s="134">
        <v>0.19</v>
      </c>
      <c r="H467" s="138">
        <f t="shared" si="31"/>
        <v>1.4811612</v>
      </c>
      <c r="I467" s="138"/>
      <c r="J467" s="138">
        <f t="shared" si="1"/>
        <v>5389.6711612</v>
      </c>
      <c r="K467" s="140"/>
      <c r="L467" s="45"/>
      <c r="M467" s="45"/>
      <c r="N467" s="137"/>
      <c r="O467" s="137"/>
    </row>
    <row r="468" customHeight="1" spans="1:15">
      <c r="A468" s="3" t="s">
        <v>21</v>
      </c>
      <c r="B468" s="3" t="s">
        <v>228</v>
      </c>
      <c r="C468" s="4">
        <v>30</v>
      </c>
      <c r="D468" s="131">
        <v>43889</v>
      </c>
      <c r="E468" s="132">
        <v>177.64</v>
      </c>
      <c r="F468" s="132">
        <f t="shared" si="0"/>
        <v>5329.2</v>
      </c>
      <c r="G468" s="132">
        <v>0.18</v>
      </c>
      <c r="H468" s="67">
        <f t="shared" si="31"/>
        <v>1.46499708</v>
      </c>
      <c r="I468" s="67"/>
      <c r="J468" s="67">
        <f t="shared" si="1"/>
        <v>5330.84499708</v>
      </c>
      <c r="K468" s="45"/>
      <c r="L468" s="45"/>
      <c r="M468" s="45"/>
      <c r="N468" s="137"/>
      <c r="O468" s="137"/>
    </row>
    <row r="469" customHeight="1" spans="1:15">
      <c r="A469" s="7" t="s">
        <v>16</v>
      </c>
      <c r="B469" s="7" t="s">
        <v>228</v>
      </c>
      <c r="C469" s="8">
        <v>15</v>
      </c>
      <c r="D469" s="133">
        <v>43889</v>
      </c>
      <c r="E469" s="134">
        <v>120.65</v>
      </c>
      <c r="F469" s="134">
        <f t="shared" si="0"/>
        <v>1809.75</v>
      </c>
      <c r="G469" s="134">
        <v>0.05</v>
      </c>
      <c r="H469" s="138">
        <f t="shared" si="31"/>
        <v>0.497500275</v>
      </c>
      <c r="I469" s="138"/>
      <c r="J469" s="138">
        <f t="shared" si="1"/>
        <v>1810.297500275</v>
      </c>
      <c r="K469" s="140"/>
      <c r="L469" s="45"/>
      <c r="M469" s="45"/>
      <c r="N469" s="137"/>
      <c r="O469" s="137"/>
    </row>
    <row r="470" customHeight="1" spans="1:15">
      <c r="A470" s="3" t="s">
        <v>16</v>
      </c>
      <c r="B470" s="3" t="s">
        <v>228</v>
      </c>
      <c r="C470" s="4">
        <v>4</v>
      </c>
      <c r="D470" s="131">
        <v>43889</v>
      </c>
      <c r="E470" s="132">
        <v>120.7</v>
      </c>
      <c r="F470" s="132">
        <f t="shared" si="0"/>
        <v>482.8</v>
      </c>
      <c r="G470" s="67">
        <f t="shared" ref="G470:G471" si="32">0.00004316*E470*C470</f>
        <v>0.020837648</v>
      </c>
      <c r="H470" s="67">
        <f t="shared" si="31"/>
        <v>0.13272172</v>
      </c>
      <c r="I470" s="67"/>
      <c r="J470" s="67">
        <f t="shared" si="1"/>
        <v>482.953559368</v>
      </c>
      <c r="K470" s="45"/>
      <c r="L470" s="45"/>
      <c r="M470" s="45"/>
      <c r="N470" s="137"/>
      <c r="O470" s="137"/>
    </row>
    <row r="471" customHeight="1" spans="1:15">
      <c r="A471" s="7" t="s">
        <v>16</v>
      </c>
      <c r="B471" s="7" t="s">
        <v>228</v>
      </c>
      <c r="C471" s="8">
        <v>1</v>
      </c>
      <c r="D471" s="133">
        <v>43889</v>
      </c>
      <c r="E471" s="134">
        <v>120.64</v>
      </c>
      <c r="F471" s="134">
        <f t="shared" si="0"/>
        <v>120.64</v>
      </c>
      <c r="G471" s="138">
        <f t="shared" si="32"/>
        <v>0.0052068224</v>
      </c>
      <c r="H471" s="138">
        <f t="shared" si="31"/>
        <v>0.033163936</v>
      </c>
      <c r="I471" s="138"/>
      <c r="J471" s="138">
        <f t="shared" si="1"/>
        <v>120.6783707584</v>
      </c>
      <c r="K471" s="140"/>
      <c r="L471" s="45"/>
      <c r="M471" s="45"/>
      <c r="N471" s="137"/>
      <c r="O471" s="137"/>
    </row>
    <row r="472" customHeight="1" spans="1:15">
      <c r="A472" s="3" t="s">
        <v>16</v>
      </c>
      <c r="B472" s="3" t="s">
        <v>228</v>
      </c>
      <c r="C472" s="4">
        <v>18</v>
      </c>
      <c r="D472" s="131">
        <v>43882</v>
      </c>
      <c r="E472" s="132">
        <v>101.35</v>
      </c>
      <c r="F472" s="132">
        <f t="shared" si="0"/>
        <v>1824.3</v>
      </c>
      <c r="G472" s="132">
        <v>0</v>
      </c>
      <c r="H472" s="132">
        <v>0</v>
      </c>
      <c r="I472" s="67"/>
      <c r="J472" s="67">
        <f t="shared" si="1"/>
        <v>1824.3</v>
      </c>
      <c r="K472" s="3" t="s">
        <v>230</v>
      </c>
      <c r="L472" s="45"/>
      <c r="M472" s="45"/>
      <c r="N472" s="137"/>
      <c r="O472" s="137"/>
    </row>
    <row r="473" customHeight="1" spans="1:15">
      <c r="A473" s="7" t="s">
        <v>119</v>
      </c>
      <c r="B473" s="7" t="s">
        <v>228</v>
      </c>
      <c r="C473" s="8">
        <v>11</v>
      </c>
      <c r="D473" s="133">
        <v>43879</v>
      </c>
      <c r="E473" s="134">
        <v>112.96</v>
      </c>
      <c r="F473" s="134">
        <f t="shared" si="0"/>
        <v>1242.56</v>
      </c>
      <c r="G473" s="134">
        <v>0</v>
      </c>
      <c r="H473" s="134">
        <v>0</v>
      </c>
      <c r="I473" s="138"/>
      <c r="J473" s="138">
        <f t="shared" si="1"/>
        <v>1242.56</v>
      </c>
      <c r="K473" s="7" t="s">
        <v>230</v>
      </c>
      <c r="L473" s="45"/>
      <c r="M473" s="45"/>
      <c r="N473" s="137"/>
      <c r="O473" s="137"/>
    </row>
    <row r="474" customHeight="1" spans="1:15">
      <c r="A474" s="3" t="s">
        <v>153</v>
      </c>
      <c r="B474" s="3" t="s">
        <v>228</v>
      </c>
      <c r="C474" s="4">
        <v>10</v>
      </c>
      <c r="D474" s="131">
        <v>43832</v>
      </c>
      <c r="E474" s="132">
        <v>170.45</v>
      </c>
      <c r="F474" s="132">
        <f t="shared" si="0"/>
        <v>1704.5</v>
      </c>
      <c r="G474" s="132">
        <v>0.06</v>
      </c>
      <c r="H474" s="67">
        <f t="shared" ref="H474:H482" si="33">0.0002749*E474*C474</f>
        <v>0.46856705</v>
      </c>
      <c r="I474" s="67"/>
      <c r="J474" s="67">
        <f t="shared" si="1"/>
        <v>1705.02856705</v>
      </c>
      <c r="K474" s="3"/>
      <c r="L474" s="45"/>
      <c r="M474" s="45"/>
      <c r="N474" s="137"/>
      <c r="O474" s="137"/>
    </row>
    <row r="475" customHeight="1" spans="1:15">
      <c r="A475" s="7" t="s">
        <v>156</v>
      </c>
      <c r="B475" s="7" t="s">
        <v>228</v>
      </c>
      <c r="C475" s="8">
        <v>10</v>
      </c>
      <c r="D475" s="133">
        <v>43832</v>
      </c>
      <c r="E475" s="134">
        <v>128.7</v>
      </c>
      <c r="F475" s="134">
        <f t="shared" si="0"/>
        <v>1287</v>
      </c>
      <c r="G475" s="134">
        <v>0.05</v>
      </c>
      <c r="H475" s="138">
        <f t="shared" si="33"/>
        <v>0.3537963</v>
      </c>
      <c r="I475" s="138"/>
      <c r="J475" s="138">
        <f t="shared" si="1"/>
        <v>1287.4037963</v>
      </c>
      <c r="K475" s="7"/>
      <c r="L475" s="45"/>
      <c r="M475" s="45"/>
      <c r="N475" s="137"/>
      <c r="O475" s="137"/>
    </row>
    <row r="476" customHeight="1" spans="1:15">
      <c r="A476" s="3" t="s">
        <v>15</v>
      </c>
      <c r="B476" s="3" t="s">
        <v>228</v>
      </c>
      <c r="C476" s="4">
        <v>7</v>
      </c>
      <c r="D476" s="131">
        <v>43832</v>
      </c>
      <c r="E476" s="132">
        <v>211.7</v>
      </c>
      <c r="F476" s="132">
        <f t="shared" si="0"/>
        <v>1481.9</v>
      </c>
      <c r="G476" s="132">
        <v>0.05</v>
      </c>
      <c r="H476" s="67">
        <f t="shared" si="33"/>
        <v>0.40737431</v>
      </c>
      <c r="I476" s="67"/>
      <c r="J476" s="67">
        <f t="shared" si="1"/>
        <v>1482.35737431</v>
      </c>
      <c r="K476" s="3"/>
      <c r="L476" s="45"/>
      <c r="M476" s="45"/>
      <c r="N476" s="137"/>
      <c r="O476" s="137"/>
    </row>
    <row r="477" customHeight="1" spans="1:15">
      <c r="A477" s="7" t="s">
        <v>15</v>
      </c>
      <c r="B477" s="7" t="s">
        <v>228</v>
      </c>
      <c r="C477" s="8">
        <v>3</v>
      </c>
      <c r="D477" s="133">
        <v>43832</v>
      </c>
      <c r="E477" s="134">
        <v>211.95</v>
      </c>
      <c r="F477" s="134">
        <f t="shared" si="0"/>
        <v>635.85</v>
      </c>
      <c r="G477" s="138">
        <f t="shared" ref="G477:G478" si="34">0.00004316*E477*C477</f>
        <v>0.027443286</v>
      </c>
      <c r="H477" s="138">
        <f t="shared" si="33"/>
        <v>0.174795165</v>
      </c>
      <c r="I477" s="138"/>
      <c r="J477" s="138">
        <f t="shared" si="1"/>
        <v>636.052238451</v>
      </c>
      <c r="K477" s="7"/>
      <c r="L477" s="45"/>
      <c r="M477" s="45"/>
      <c r="N477" s="137"/>
      <c r="O477" s="137"/>
    </row>
    <row r="478" customHeight="1" spans="1:15">
      <c r="A478" s="3" t="s">
        <v>37</v>
      </c>
      <c r="B478" s="3" t="s">
        <v>228</v>
      </c>
      <c r="C478" s="4">
        <v>5</v>
      </c>
      <c r="D478" s="131">
        <v>43832</v>
      </c>
      <c r="E478" s="132">
        <v>301.2</v>
      </c>
      <c r="F478" s="132">
        <f t="shared" si="0"/>
        <v>1506</v>
      </c>
      <c r="G478" s="67">
        <f t="shared" si="34"/>
        <v>0.06499896</v>
      </c>
      <c r="H478" s="67">
        <f t="shared" si="33"/>
        <v>0.4139994</v>
      </c>
      <c r="I478" s="67"/>
      <c r="J478" s="67">
        <f t="shared" si="1"/>
        <v>1506.47899836</v>
      </c>
      <c r="K478" s="3"/>
      <c r="L478" s="45"/>
      <c r="M478" s="45"/>
      <c r="N478" s="137"/>
      <c r="O478" s="137"/>
    </row>
    <row r="479" customHeight="1" spans="1:15">
      <c r="A479" s="7" t="s">
        <v>21</v>
      </c>
      <c r="B479" s="7" t="s">
        <v>228</v>
      </c>
      <c r="C479" s="8">
        <v>10</v>
      </c>
      <c r="D479" s="133">
        <v>43832</v>
      </c>
      <c r="E479" s="134">
        <v>205.3</v>
      </c>
      <c r="F479" s="134">
        <f t="shared" si="0"/>
        <v>2053</v>
      </c>
      <c r="G479" s="134">
        <v>0.08</v>
      </c>
      <c r="H479" s="138">
        <f t="shared" si="33"/>
        <v>0.5643697</v>
      </c>
      <c r="I479" s="138"/>
      <c r="J479" s="138">
        <f t="shared" si="1"/>
        <v>2053.6443697</v>
      </c>
      <c r="K479" s="7"/>
      <c r="L479" s="45"/>
      <c r="M479" s="45"/>
      <c r="N479" s="137"/>
      <c r="O479" s="137"/>
    </row>
    <row r="480" customHeight="1" spans="1:15">
      <c r="A480" s="3" t="s">
        <v>119</v>
      </c>
      <c r="B480" s="3" t="s">
        <v>228</v>
      </c>
      <c r="C480" s="4">
        <v>10</v>
      </c>
      <c r="D480" s="131">
        <v>43832</v>
      </c>
      <c r="E480" s="132">
        <v>126.77</v>
      </c>
      <c r="F480" s="132">
        <f t="shared" si="0"/>
        <v>1267.7</v>
      </c>
      <c r="G480" s="67">
        <f>0.00004316*E480*C480</f>
        <v>0.054713932</v>
      </c>
      <c r="H480" s="67">
        <f t="shared" si="33"/>
        <v>0.34849073</v>
      </c>
      <c r="I480" s="67"/>
      <c r="J480" s="67">
        <f t="shared" si="1"/>
        <v>1268.103204662</v>
      </c>
      <c r="K480" s="3"/>
      <c r="L480" s="45"/>
      <c r="M480" s="45"/>
      <c r="N480" s="137"/>
      <c r="O480" s="137"/>
    </row>
    <row r="481" customHeight="1" spans="1:15">
      <c r="A481" s="7" t="s">
        <v>16</v>
      </c>
      <c r="B481" s="7" t="s">
        <v>228</v>
      </c>
      <c r="C481" s="8">
        <v>10</v>
      </c>
      <c r="D481" s="133">
        <v>43832</v>
      </c>
      <c r="E481" s="134">
        <v>141.33</v>
      </c>
      <c r="F481" s="134">
        <f t="shared" si="0"/>
        <v>1413.3</v>
      </c>
      <c r="G481" s="134">
        <v>0.05</v>
      </c>
      <c r="H481" s="138">
        <f t="shared" si="33"/>
        <v>0.38851617</v>
      </c>
      <c r="I481" s="138"/>
      <c r="J481" s="138">
        <f t="shared" si="1"/>
        <v>1413.73851617</v>
      </c>
      <c r="K481" s="7"/>
      <c r="L481" s="45"/>
      <c r="M481" s="45"/>
      <c r="N481" s="137"/>
      <c r="O481" s="137"/>
    </row>
    <row r="482" customHeight="1" spans="1:15">
      <c r="A482" s="3" t="s">
        <v>114</v>
      </c>
      <c r="B482" s="3" t="s">
        <v>228</v>
      </c>
      <c r="C482" s="4">
        <v>1</v>
      </c>
      <c r="D482" s="131">
        <v>43832</v>
      </c>
      <c r="E482" s="132">
        <v>130.99</v>
      </c>
      <c r="F482" s="132">
        <f t="shared" si="0"/>
        <v>130.99</v>
      </c>
      <c r="G482" s="67">
        <f>0.00004316*E482*C482</f>
        <v>0.0056535284</v>
      </c>
      <c r="H482" s="67">
        <f t="shared" si="33"/>
        <v>0.036009151</v>
      </c>
      <c r="I482" s="67"/>
      <c r="J482" s="67">
        <f t="shared" si="1"/>
        <v>131.0316626794</v>
      </c>
      <c r="K482" s="3"/>
      <c r="L482" s="45"/>
      <c r="M482" s="45"/>
      <c r="N482" s="137"/>
      <c r="O482" s="137"/>
    </row>
    <row r="483" customHeight="1" spans="1:15">
      <c r="A483" s="7" t="s">
        <v>114</v>
      </c>
      <c r="B483" s="7" t="s">
        <v>228</v>
      </c>
      <c r="C483" s="8">
        <v>9</v>
      </c>
      <c r="D483" s="133">
        <v>43832</v>
      </c>
      <c r="E483" s="134">
        <v>131.7</v>
      </c>
      <c r="F483" s="134">
        <f t="shared" si="0"/>
        <v>1185.3</v>
      </c>
      <c r="G483" s="134">
        <v>0.04</v>
      </c>
      <c r="H483" s="134">
        <v>0.32</v>
      </c>
      <c r="I483" s="138"/>
      <c r="J483" s="138">
        <f t="shared" si="1"/>
        <v>1185.66</v>
      </c>
      <c r="K483" s="7"/>
      <c r="L483" s="45"/>
      <c r="M483" s="45"/>
      <c r="N483" s="137"/>
      <c r="O483" s="137"/>
    </row>
    <row r="484" customHeight="1" spans="1:15">
      <c r="A484" s="3" t="s">
        <v>159</v>
      </c>
      <c r="B484" s="3" t="s">
        <v>228</v>
      </c>
      <c r="C484" s="4">
        <v>10</v>
      </c>
      <c r="D484" s="131">
        <v>43832</v>
      </c>
      <c r="E484" s="132">
        <v>141.52</v>
      </c>
      <c r="F484" s="132">
        <f t="shared" si="0"/>
        <v>1415.2</v>
      </c>
      <c r="G484" s="132">
        <v>0.05</v>
      </c>
      <c r="H484" s="67">
        <f t="shared" ref="H484:H487" si="35">0.0002749*E484*C484</f>
        <v>0.38903848</v>
      </c>
      <c r="I484" s="67"/>
      <c r="J484" s="67">
        <f t="shared" si="1"/>
        <v>1415.63903848</v>
      </c>
      <c r="K484" s="3"/>
      <c r="L484" s="45"/>
      <c r="M484" s="45"/>
      <c r="N484" s="137"/>
      <c r="O484" s="137"/>
    </row>
    <row r="485" customHeight="1" spans="1:15">
      <c r="A485" s="7" t="s">
        <v>124</v>
      </c>
      <c r="B485" s="7" t="s">
        <v>228</v>
      </c>
      <c r="C485" s="8">
        <v>4</v>
      </c>
      <c r="D485" s="133">
        <v>43832</v>
      </c>
      <c r="E485" s="134">
        <v>115.5</v>
      </c>
      <c r="F485" s="134">
        <f t="shared" si="0"/>
        <v>462</v>
      </c>
      <c r="G485" s="138">
        <f>0.00004316*E485*C485</f>
        <v>0.01993992</v>
      </c>
      <c r="H485" s="138">
        <f t="shared" si="35"/>
        <v>0.1270038</v>
      </c>
      <c r="I485" s="138"/>
      <c r="J485" s="138">
        <f t="shared" si="1"/>
        <v>462.14694372</v>
      </c>
      <c r="K485" s="7"/>
      <c r="L485" s="45"/>
      <c r="M485" s="45"/>
      <c r="N485" s="137"/>
      <c r="O485" s="137"/>
    </row>
    <row r="486" customHeight="1" spans="1:15">
      <c r="A486" s="3" t="s">
        <v>13</v>
      </c>
      <c r="B486" s="3" t="s">
        <v>228</v>
      </c>
      <c r="C486" s="4">
        <v>10</v>
      </c>
      <c r="D486" s="131">
        <v>43832</v>
      </c>
      <c r="E486" s="132">
        <v>138.7</v>
      </c>
      <c r="F486" s="132">
        <f t="shared" si="0"/>
        <v>1387</v>
      </c>
      <c r="G486" s="132">
        <v>0.05</v>
      </c>
      <c r="H486" s="67">
        <f t="shared" si="35"/>
        <v>0.3812863</v>
      </c>
      <c r="I486" s="67"/>
      <c r="J486" s="67">
        <f t="shared" si="1"/>
        <v>1387.4312863</v>
      </c>
      <c r="K486" s="3"/>
      <c r="L486" s="45"/>
      <c r="M486" s="45"/>
      <c r="N486" s="137"/>
      <c r="O486" s="137"/>
    </row>
    <row r="487" customHeight="1" spans="1:15">
      <c r="A487" s="7" t="s">
        <v>138</v>
      </c>
      <c r="B487" s="7" t="s">
        <v>228</v>
      </c>
      <c r="C487" s="8">
        <v>10</v>
      </c>
      <c r="D487" s="133">
        <v>43832</v>
      </c>
      <c r="E487" s="134">
        <v>140.22</v>
      </c>
      <c r="F487" s="134">
        <f t="shared" si="0"/>
        <v>1402.2</v>
      </c>
      <c r="G487" s="134">
        <v>0.05</v>
      </c>
      <c r="H487" s="138">
        <f t="shared" si="35"/>
        <v>0.38546478</v>
      </c>
      <c r="I487" s="138"/>
      <c r="J487" s="138">
        <f t="shared" si="1"/>
        <v>1402.63546478</v>
      </c>
      <c r="K487" s="7"/>
      <c r="L487" s="45"/>
      <c r="M487" s="45"/>
      <c r="N487" s="137"/>
      <c r="O487" s="137"/>
    </row>
    <row r="488" customHeight="1" spans="1:15">
      <c r="A488" s="3" t="s">
        <v>153</v>
      </c>
      <c r="B488" s="3" t="s">
        <v>228</v>
      </c>
      <c r="C488" s="4">
        <v>10</v>
      </c>
      <c r="D488" s="131">
        <v>43836</v>
      </c>
      <c r="E488" s="132">
        <v>169.46</v>
      </c>
      <c r="F488" s="132">
        <f t="shared" si="0"/>
        <v>1694.6</v>
      </c>
      <c r="G488" s="132">
        <v>0.06</v>
      </c>
      <c r="H488" s="132">
        <v>0.46</v>
      </c>
      <c r="I488" s="67"/>
      <c r="J488" s="67">
        <f t="shared" si="1"/>
        <v>1695.12</v>
      </c>
      <c r="K488" s="3"/>
      <c r="L488" s="45"/>
      <c r="M488" s="45"/>
      <c r="N488" s="137"/>
      <c r="O488" s="137"/>
    </row>
    <row r="489" customHeight="1" spans="1:15">
      <c r="A489" s="7" t="s">
        <v>119</v>
      </c>
      <c r="B489" s="7" t="s">
        <v>228</v>
      </c>
      <c r="C489" s="8">
        <v>10</v>
      </c>
      <c r="D489" s="133">
        <v>43836</v>
      </c>
      <c r="E489" s="134">
        <v>126.98</v>
      </c>
      <c r="F489" s="134">
        <f t="shared" si="0"/>
        <v>1269.8</v>
      </c>
      <c r="G489" s="138">
        <f>0.00004316*E489*C489</f>
        <v>0.054804568</v>
      </c>
      <c r="H489" s="138">
        <f t="shared" ref="H489:H495" si="36">0.0002749*E489*C489</f>
        <v>0.34906802</v>
      </c>
      <c r="I489" s="138"/>
      <c r="J489" s="138">
        <f t="shared" si="1"/>
        <v>1270.203872588</v>
      </c>
      <c r="K489" s="7"/>
      <c r="L489" s="45"/>
      <c r="M489" s="45"/>
      <c r="N489" s="137"/>
      <c r="O489" s="137"/>
    </row>
    <row r="490" customHeight="1" spans="1:15">
      <c r="A490" s="3" t="s">
        <v>16</v>
      </c>
      <c r="B490" s="3" t="s">
        <v>228</v>
      </c>
      <c r="C490" s="4">
        <v>10</v>
      </c>
      <c r="D490" s="131">
        <v>43836</v>
      </c>
      <c r="E490" s="132">
        <v>141.79</v>
      </c>
      <c r="F490" s="132">
        <f t="shared" si="0"/>
        <v>1417.9</v>
      </c>
      <c r="G490" s="132">
        <v>0.05</v>
      </c>
      <c r="H490" s="67">
        <f t="shared" si="36"/>
        <v>0.38978071</v>
      </c>
      <c r="I490" s="67"/>
      <c r="J490" s="67">
        <f t="shared" si="1"/>
        <v>1418.33978071</v>
      </c>
      <c r="K490" s="3"/>
      <c r="L490" s="45"/>
      <c r="M490" s="45"/>
      <c r="N490" s="137"/>
      <c r="O490" s="137"/>
    </row>
    <row r="491" customHeight="1" spans="1:15">
      <c r="A491" s="7" t="s">
        <v>124</v>
      </c>
      <c r="B491" s="7" t="s">
        <v>228</v>
      </c>
      <c r="C491" s="8">
        <v>10</v>
      </c>
      <c r="D491" s="133">
        <v>43838</v>
      </c>
      <c r="E491" s="134">
        <v>85</v>
      </c>
      <c r="F491" s="134">
        <f t="shared" si="0"/>
        <v>850</v>
      </c>
      <c r="G491" s="134">
        <v>0.03</v>
      </c>
      <c r="H491" s="138">
        <f t="shared" si="36"/>
        <v>0.233665</v>
      </c>
      <c r="I491" s="138"/>
      <c r="J491" s="138">
        <f t="shared" si="1"/>
        <v>850.263665</v>
      </c>
      <c r="K491" s="7"/>
      <c r="L491" s="45"/>
      <c r="M491" s="45"/>
      <c r="N491" s="137"/>
      <c r="O491" s="137"/>
    </row>
    <row r="492" customHeight="1" spans="1:15">
      <c r="A492" s="3" t="s">
        <v>156</v>
      </c>
      <c r="B492" s="3" t="s">
        <v>228</v>
      </c>
      <c r="C492" s="4">
        <v>5</v>
      </c>
      <c r="D492" s="131">
        <v>43839</v>
      </c>
      <c r="E492" s="132">
        <v>124.88</v>
      </c>
      <c r="F492" s="132">
        <f t="shared" si="0"/>
        <v>624.4</v>
      </c>
      <c r="G492" s="132">
        <v>0.02</v>
      </c>
      <c r="H492" s="67">
        <f t="shared" si="36"/>
        <v>0.17164756</v>
      </c>
      <c r="I492" s="67"/>
      <c r="J492" s="67">
        <f t="shared" si="1"/>
        <v>624.59164756</v>
      </c>
      <c r="K492" s="3"/>
      <c r="L492" s="45"/>
      <c r="M492" s="45"/>
      <c r="N492" s="137"/>
      <c r="O492" s="137"/>
    </row>
    <row r="493" customHeight="1" spans="1:15">
      <c r="A493" s="7" t="s">
        <v>114</v>
      </c>
      <c r="B493" s="7" t="s">
        <v>228</v>
      </c>
      <c r="C493" s="8">
        <v>5</v>
      </c>
      <c r="D493" s="133">
        <v>43839</v>
      </c>
      <c r="E493" s="134">
        <v>117.69</v>
      </c>
      <c r="F493" s="134">
        <f t="shared" si="0"/>
        <v>588.45</v>
      </c>
      <c r="G493" s="134">
        <v>0.02</v>
      </c>
      <c r="H493" s="138">
        <f t="shared" si="36"/>
        <v>0.161764905</v>
      </c>
      <c r="I493" s="138"/>
      <c r="J493" s="138">
        <f t="shared" si="1"/>
        <v>588.631764905</v>
      </c>
      <c r="K493" s="7"/>
      <c r="L493" s="45"/>
      <c r="M493" s="45"/>
      <c r="N493" s="137"/>
      <c r="O493" s="137"/>
    </row>
    <row r="494" customHeight="1" spans="1:15">
      <c r="A494" s="3" t="s">
        <v>138</v>
      </c>
      <c r="B494" s="3" t="s">
        <v>228</v>
      </c>
      <c r="C494" s="4">
        <v>5</v>
      </c>
      <c r="D494" s="131">
        <v>43839</v>
      </c>
      <c r="E494" s="132">
        <v>141.5</v>
      </c>
      <c r="F494" s="132">
        <f t="shared" si="0"/>
        <v>707.5</v>
      </c>
      <c r="G494" s="67">
        <f t="shared" ref="G494:G507" si="37">0.00004316*E494*C494</f>
        <v>0.0305357</v>
      </c>
      <c r="H494" s="67">
        <f t="shared" si="36"/>
        <v>0.19449175</v>
      </c>
      <c r="I494" s="67"/>
      <c r="J494" s="67">
        <f t="shared" si="1"/>
        <v>707.72502745</v>
      </c>
      <c r="K494" s="3"/>
      <c r="L494" s="45"/>
      <c r="M494" s="45"/>
      <c r="N494" s="137"/>
      <c r="O494" s="137"/>
    </row>
    <row r="495" customHeight="1" spans="1:15">
      <c r="A495" s="7" t="s">
        <v>153</v>
      </c>
      <c r="B495" s="7" t="s">
        <v>228</v>
      </c>
      <c r="C495" s="8">
        <v>10</v>
      </c>
      <c r="D495" s="133">
        <v>43801</v>
      </c>
      <c r="E495" s="134">
        <v>157.79</v>
      </c>
      <c r="F495" s="134">
        <f t="shared" si="0"/>
        <v>1577.9</v>
      </c>
      <c r="G495" s="138">
        <f t="shared" si="37"/>
        <v>0.068102164</v>
      </c>
      <c r="H495" s="138">
        <f t="shared" si="36"/>
        <v>0.43376471</v>
      </c>
      <c r="I495" s="138"/>
      <c r="J495" s="138">
        <f t="shared" si="1"/>
        <v>1578.401866874</v>
      </c>
      <c r="K495" s="7"/>
      <c r="L495" s="45"/>
      <c r="M495" s="45"/>
      <c r="N495" s="137"/>
      <c r="O495" s="137"/>
    </row>
    <row r="496" customHeight="1" spans="1:15">
      <c r="A496" s="3" t="s">
        <v>156</v>
      </c>
      <c r="B496" s="3" t="s">
        <v>228</v>
      </c>
      <c r="C496" s="4">
        <v>10</v>
      </c>
      <c r="D496" s="131">
        <v>43801</v>
      </c>
      <c r="E496" s="132">
        <v>117.77</v>
      </c>
      <c r="F496" s="132">
        <f t="shared" si="0"/>
        <v>1177.7</v>
      </c>
      <c r="G496" s="67">
        <f t="shared" si="37"/>
        <v>0.050829532</v>
      </c>
      <c r="H496" s="132">
        <v>0.32</v>
      </c>
      <c r="I496" s="67"/>
      <c r="J496" s="67">
        <f t="shared" si="1"/>
        <v>1178.070829532</v>
      </c>
      <c r="K496" s="3"/>
      <c r="L496" s="45"/>
      <c r="M496" s="45"/>
      <c r="N496" s="137"/>
      <c r="O496" s="137"/>
    </row>
    <row r="497" customHeight="1" spans="1:15">
      <c r="A497" s="7" t="s">
        <v>37</v>
      </c>
      <c r="B497" s="7" t="s">
        <v>228</v>
      </c>
      <c r="C497" s="8">
        <v>10</v>
      </c>
      <c r="D497" s="133">
        <v>43801</v>
      </c>
      <c r="E497" s="134">
        <v>284.34</v>
      </c>
      <c r="F497" s="134">
        <f t="shared" si="0"/>
        <v>2843.4</v>
      </c>
      <c r="G497" s="138">
        <f t="shared" si="37"/>
        <v>0.122721144</v>
      </c>
      <c r="H497" s="138">
        <f t="shared" ref="H497:H512" si="38">0.0002749*E497*C497</f>
        <v>0.78165066</v>
      </c>
      <c r="I497" s="138"/>
      <c r="J497" s="138">
        <f t="shared" si="1"/>
        <v>2844.304371804</v>
      </c>
      <c r="K497" s="7"/>
      <c r="L497" s="45"/>
      <c r="M497" s="45"/>
      <c r="N497" s="137"/>
      <c r="O497" s="137"/>
    </row>
    <row r="498" customHeight="1" spans="1:15">
      <c r="A498" s="3" t="s">
        <v>15</v>
      </c>
      <c r="B498" s="3" t="s">
        <v>228</v>
      </c>
      <c r="C498" s="4">
        <v>10</v>
      </c>
      <c r="D498" s="131">
        <v>43801</v>
      </c>
      <c r="E498" s="132">
        <v>180.69</v>
      </c>
      <c r="F498" s="132">
        <f t="shared" si="0"/>
        <v>1806.9</v>
      </c>
      <c r="G498" s="67">
        <f t="shared" si="37"/>
        <v>0.077985804</v>
      </c>
      <c r="H498" s="67">
        <f t="shared" si="38"/>
        <v>0.49671681</v>
      </c>
      <c r="I498" s="67"/>
      <c r="J498" s="67">
        <f t="shared" si="1"/>
        <v>1807.474702614</v>
      </c>
      <c r="K498" s="3"/>
      <c r="L498" s="45"/>
      <c r="M498" s="45"/>
      <c r="N498" s="137"/>
      <c r="O498" s="137"/>
    </row>
    <row r="499" customHeight="1" spans="1:15">
      <c r="A499" s="7" t="s">
        <v>21</v>
      </c>
      <c r="B499" s="7" t="s">
        <v>228</v>
      </c>
      <c r="C499" s="8">
        <v>10</v>
      </c>
      <c r="D499" s="133">
        <v>43801</v>
      </c>
      <c r="E499" s="134">
        <v>167.9</v>
      </c>
      <c r="F499" s="134">
        <f t="shared" si="0"/>
        <v>1679</v>
      </c>
      <c r="G499" s="138">
        <f t="shared" si="37"/>
        <v>0.07246564</v>
      </c>
      <c r="H499" s="138">
        <f t="shared" si="38"/>
        <v>0.4615571</v>
      </c>
      <c r="I499" s="138"/>
      <c r="J499" s="138">
        <f t="shared" si="1"/>
        <v>1679.53402274</v>
      </c>
      <c r="K499" s="7"/>
      <c r="L499" s="45"/>
      <c r="M499" s="45"/>
      <c r="N499" s="137"/>
      <c r="O499" s="137"/>
    </row>
    <row r="500" customHeight="1" spans="1:15">
      <c r="A500" s="3" t="s">
        <v>13</v>
      </c>
      <c r="B500" s="3" t="s">
        <v>228</v>
      </c>
      <c r="C500" s="4">
        <v>10</v>
      </c>
      <c r="D500" s="131">
        <v>43801</v>
      </c>
      <c r="E500" s="132">
        <v>120.99</v>
      </c>
      <c r="F500" s="132">
        <f t="shared" si="0"/>
        <v>1209.9</v>
      </c>
      <c r="G500" s="67">
        <f t="shared" si="37"/>
        <v>0.052219284</v>
      </c>
      <c r="H500" s="67">
        <f t="shared" si="38"/>
        <v>0.33260151</v>
      </c>
      <c r="I500" s="67"/>
      <c r="J500" s="67">
        <f t="shared" si="1"/>
        <v>1210.284820794</v>
      </c>
      <c r="K500" s="3"/>
      <c r="L500" s="45"/>
      <c r="M500" s="45"/>
      <c r="N500" s="137"/>
      <c r="O500" s="137"/>
    </row>
    <row r="501" customHeight="1" spans="1:15">
      <c r="A501" s="7" t="s">
        <v>159</v>
      </c>
      <c r="B501" s="7" t="s">
        <v>228</v>
      </c>
      <c r="C501" s="8">
        <v>10</v>
      </c>
      <c r="D501" s="133">
        <v>43801</v>
      </c>
      <c r="E501" s="134">
        <v>130.38</v>
      </c>
      <c r="F501" s="134">
        <f t="shared" si="0"/>
        <v>1303.8</v>
      </c>
      <c r="G501" s="138">
        <f t="shared" si="37"/>
        <v>0.056272008</v>
      </c>
      <c r="H501" s="138">
        <f t="shared" si="38"/>
        <v>0.35841462</v>
      </c>
      <c r="I501" s="138"/>
      <c r="J501" s="138">
        <f t="shared" si="1"/>
        <v>1304.214686628</v>
      </c>
      <c r="K501" s="7"/>
      <c r="L501" s="45"/>
      <c r="M501" s="45"/>
      <c r="N501" s="137"/>
      <c r="O501" s="137"/>
    </row>
    <row r="502" customHeight="1" spans="1:15">
      <c r="A502" s="3" t="s">
        <v>124</v>
      </c>
      <c r="B502" s="3" t="s">
        <v>228</v>
      </c>
      <c r="C502" s="4">
        <v>30</v>
      </c>
      <c r="D502" s="131">
        <v>43801</v>
      </c>
      <c r="E502" s="132">
        <v>99.68</v>
      </c>
      <c r="F502" s="132">
        <f t="shared" si="0"/>
        <v>2990.4</v>
      </c>
      <c r="G502" s="67">
        <f t="shared" si="37"/>
        <v>0.129065664</v>
      </c>
      <c r="H502" s="67">
        <f t="shared" si="38"/>
        <v>0.82206096</v>
      </c>
      <c r="I502" s="67"/>
      <c r="J502" s="67">
        <f t="shared" si="1"/>
        <v>2991.351126624</v>
      </c>
      <c r="K502" s="3"/>
      <c r="L502" s="45"/>
      <c r="M502" s="45"/>
      <c r="N502" s="137"/>
      <c r="O502" s="137"/>
    </row>
    <row r="503" customHeight="1" spans="1:15">
      <c r="A503" s="7" t="s">
        <v>124</v>
      </c>
      <c r="B503" s="7" t="s">
        <v>228</v>
      </c>
      <c r="C503" s="8">
        <v>10</v>
      </c>
      <c r="D503" s="133">
        <v>43801</v>
      </c>
      <c r="E503" s="134">
        <v>98.2</v>
      </c>
      <c r="F503" s="134">
        <f t="shared" si="0"/>
        <v>982</v>
      </c>
      <c r="G503" s="138">
        <f t="shared" si="37"/>
        <v>0.04238312</v>
      </c>
      <c r="H503" s="138">
        <f t="shared" si="38"/>
        <v>0.2699518</v>
      </c>
      <c r="I503" s="138"/>
      <c r="J503" s="138">
        <f t="shared" si="1"/>
        <v>982.31233492</v>
      </c>
      <c r="K503" s="7"/>
      <c r="L503" s="45"/>
      <c r="M503" s="45"/>
      <c r="N503" s="137"/>
      <c r="O503" s="137"/>
    </row>
    <row r="504" customHeight="1" spans="1:15">
      <c r="A504" s="3" t="s">
        <v>124</v>
      </c>
      <c r="B504" s="3" t="s">
        <v>228</v>
      </c>
      <c r="C504" s="4">
        <v>16</v>
      </c>
      <c r="D504" s="131">
        <v>43801</v>
      </c>
      <c r="E504" s="132">
        <v>98</v>
      </c>
      <c r="F504" s="132">
        <f t="shared" si="0"/>
        <v>1568</v>
      </c>
      <c r="G504" s="67">
        <f t="shared" si="37"/>
        <v>0.06767488</v>
      </c>
      <c r="H504" s="67">
        <f t="shared" si="38"/>
        <v>0.4310432</v>
      </c>
      <c r="I504" s="67"/>
      <c r="J504" s="67">
        <f t="shared" si="1"/>
        <v>1568.49871808</v>
      </c>
      <c r="K504" s="3"/>
      <c r="L504" s="45"/>
      <c r="M504" s="45"/>
      <c r="N504" s="137"/>
      <c r="O504" s="137"/>
    </row>
    <row r="505" customHeight="1" spans="1:15">
      <c r="A505" s="7" t="s">
        <v>138</v>
      </c>
      <c r="B505" s="7" t="s">
        <v>228</v>
      </c>
      <c r="C505" s="8">
        <v>10</v>
      </c>
      <c r="D505" s="133">
        <v>43801</v>
      </c>
      <c r="E505" s="134">
        <v>123.38</v>
      </c>
      <c r="F505" s="134">
        <f t="shared" si="0"/>
        <v>1233.8</v>
      </c>
      <c r="G505" s="138">
        <f t="shared" si="37"/>
        <v>0.053250808</v>
      </c>
      <c r="H505" s="138">
        <f t="shared" si="38"/>
        <v>0.33917162</v>
      </c>
      <c r="I505" s="138"/>
      <c r="J505" s="138">
        <f t="shared" si="1"/>
        <v>1234.192422428</v>
      </c>
      <c r="K505" s="7"/>
      <c r="L505" s="45"/>
      <c r="M505" s="45"/>
      <c r="N505" s="137"/>
      <c r="O505" s="137"/>
    </row>
    <row r="506" customHeight="1" spans="1:15">
      <c r="A506" s="3" t="s">
        <v>153</v>
      </c>
      <c r="B506" s="3" t="s">
        <v>228</v>
      </c>
      <c r="C506" s="4">
        <v>5</v>
      </c>
      <c r="D506" s="131">
        <v>43802</v>
      </c>
      <c r="E506" s="132">
        <v>157.99</v>
      </c>
      <c r="F506" s="132">
        <f t="shared" si="0"/>
        <v>789.95</v>
      </c>
      <c r="G506" s="67">
        <f t="shared" si="37"/>
        <v>0.034094242</v>
      </c>
      <c r="H506" s="67">
        <f t="shared" si="38"/>
        <v>0.217157255</v>
      </c>
      <c r="I506" s="67"/>
      <c r="J506" s="67">
        <f t="shared" si="1"/>
        <v>790.201251497</v>
      </c>
      <c r="K506" s="3"/>
      <c r="L506" s="45"/>
      <c r="M506" s="45"/>
      <c r="N506" s="137"/>
      <c r="O506" s="137"/>
    </row>
    <row r="507" customHeight="1" spans="1:15">
      <c r="A507" s="7" t="s">
        <v>119</v>
      </c>
      <c r="B507" s="7" t="s">
        <v>228</v>
      </c>
      <c r="C507" s="8">
        <v>10</v>
      </c>
      <c r="D507" s="133">
        <v>43801</v>
      </c>
      <c r="E507" s="134">
        <v>108.7</v>
      </c>
      <c r="F507" s="134">
        <f t="shared" si="0"/>
        <v>1087</v>
      </c>
      <c r="G507" s="138">
        <f t="shared" si="37"/>
        <v>0.04691492</v>
      </c>
      <c r="H507" s="138">
        <f t="shared" si="38"/>
        <v>0.2988163</v>
      </c>
      <c r="I507" s="138"/>
      <c r="J507" s="138">
        <f t="shared" si="1"/>
        <v>1087.34573122</v>
      </c>
      <c r="K507" s="7"/>
      <c r="L507" s="136"/>
      <c r="M507" s="136"/>
      <c r="N507" s="137"/>
      <c r="O507" s="137"/>
    </row>
    <row r="508" customHeight="1" spans="1:15">
      <c r="A508" s="3" t="s">
        <v>37</v>
      </c>
      <c r="B508" s="3" t="s">
        <v>228</v>
      </c>
      <c r="C508" s="4">
        <v>5</v>
      </c>
      <c r="D508" s="131">
        <v>43802</v>
      </c>
      <c r="E508" s="132">
        <v>285.39</v>
      </c>
      <c r="F508" s="132">
        <f t="shared" si="0"/>
        <v>1426.95</v>
      </c>
      <c r="G508" s="132">
        <v>0.05</v>
      </c>
      <c r="H508" s="67">
        <f t="shared" si="38"/>
        <v>0.392268555</v>
      </c>
      <c r="I508" s="67"/>
      <c r="J508" s="67">
        <f t="shared" si="1"/>
        <v>1427.392268555</v>
      </c>
      <c r="K508" s="3"/>
      <c r="L508" s="45"/>
      <c r="M508" s="45"/>
      <c r="N508" s="137"/>
      <c r="O508" s="137"/>
    </row>
    <row r="509" customHeight="1" spans="1:15">
      <c r="A509" s="7" t="s">
        <v>119</v>
      </c>
      <c r="B509" s="7" t="s">
        <v>228</v>
      </c>
      <c r="C509" s="8">
        <v>5</v>
      </c>
      <c r="D509" s="133">
        <v>43802</v>
      </c>
      <c r="E509" s="134">
        <v>107.85</v>
      </c>
      <c r="F509" s="134">
        <f t="shared" si="0"/>
        <v>539.25</v>
      </c>
      <c r="G509" s="138">
        <f>0.00004316*E509*C509</f>
        <v>0.02327403</v>
      </c>
      <c r="H509" s="138">
        <f t="shared" si="38"/>
        <v>0.148239825</v>
      </c>
      <c r="I509" s="138"/>
      <c r="J509" s="138">
        <f t="shared" si="1"/>
        <v>539.421513855</v>
      </c>
      <c r="K509" s="7"/>
      <c r="L509" s="45"/>
      <c r="M509" s="45"/>
      <c r="N509" s="137"/>
      <c r="O509" s="137"/>
    </row>
    <row r="510" customHeight="1" spans="1:15">
      <c r="A510" s="3" t="s">
        <v>159</v>
      </c>
      <c r="B510" s="3" t="s">
        <v>228</v>
      </c>
      <c r="C510" s="4">
        <v>5</v>
      </c>
      <c r="D510" s="131">
        <v>43802</v>
      </c>
      <c r="E510" s="132">
        <v>131</v>
      </c>
      <c r="F510" s="132">
        <f t="shared" si="0"/>
        <v>655</v>
      </c>
      <c r="G510" s="132">
        <v>0.02</v>
      </c>
      <c r="H510" s="67">
        <f t="shared" si="38"/>
        <v>0.1800595</v>
      </c>
      <c r="I510" s="67"/>
      <c r="J510" s="67">
        <f t="shared" si="1"/>
        <v>655.2000595</v>
      </c>
      <c r="K510" s="3"/>
      <c r="L510" s="3"/>
      <c r="M510" s="3"/>
      <c r="N510" s="137"/>
      <c r="O510" s="137"/>
    </row>
    <row r="511" customHeight="1" spans="1:15">
      <c r="A511" s="7" t="s">
        <v>16</v>
      </c>
      <c r="B511" s="7" t="s">
        <v>228</v>
      </c>
      <c r="C511" s="8">
        <v>10</v>
      </c>
      <c r="D511" s="133">
        <v>43803</v>
      </c>
      <c r="E511" s="134">
        <v>124.7</v>
      </c>
      <c r="F511" s="134">
        <f t="shared" si="0"/>
        <v>1247</v>
      </c>
      <c r="G511" s="134">
        <v>0.04</v>
      </c>
      <c r="H511" s="138">
        <f t="shared" si="38"/>
        <v>0.3428003</v>
      </c>
      <c r="I511" s="138"/>
      <c r="J511" s="138">
        <f t="shared" si="1"/>
        <v>1247.3828003</v>
      </c>
      <c r="K511" s="7"/>
      <c r="L511" s="3"/>
      <c r="M511" s="3"/>
      <c r="N511" s="137"/>
      <c r="O511" s="137"/>
    </row>
    <row r="512" customHeight="1" spans="1:15">
      <c r="A512" s="3" t="s">
        <v>114</v>
      </c>
      <c r="B512" s="3" t="s">
        <v>228</v>
      </c>
      <c r="C512" s="4">
        <v>15</v>
      </c>
      <c r="D512" s="131">
        <v>43808</v>
      </c>
      <c r="E512" s="132">
        <v>109.55</v>
      </c>
      <c r="F512" s="132">
        <f t="shared" si="0"/>
        <v>1643.25</v>
      </c>
      <c r="G512" s="132">
        <v>0.06</v>
      </c>
      <c r="H512" s="67">
        <f t="shared" si="38"/>
        <v>0.451729425</v>
      </c>
      <c r="I512" s="67"/>
      <c r="J512" s="67">
        <f t="shared" si="1"/>
        <v>1643.761729425</v>
      </c>
      <c r="K512" s="3"/>
      <c r="L512" s="3"/>
      <c r="M512" s="3"/>
      <c r="N512" s="137"/>
      <c r="O512" s="137"/>
    </row>
    <row r="513" customHeight="1" spans="3:15">
      <c r="C513" s="12"/>
      <c r="D513" s="12"/>
      <c r="E513" s="26"/>
      <c r="F513" s="26"/>
      <c r="G513" s="26"/>
      <c r="H513" s="26"/>
      <c r="I513" s="26"/>
      <c r="J513" s="26"/>
      <c r="L513" s="45"/>
      <c r="M513" s="45"/>
      <c r="N513" s="137"/>
      <c r="O513" s="137"/>
    </row>
    <row r="514" customHeight="1" spans="3:15">
      <c r="C514" s="12"/>
      <c r="D514" s="12"/>
      <c r="E514" s="26"/>
      <c r="F514" s="26"/>
      <c r="G514" s="26"/>
      <c r="H514" s="26"/>
      <c r="I514" s="26"/>
      <c r="J514" s="26"/>
      <c r="L514" s="45"/>
      <c r="M514" s="45"/>
      <c r="N514" s="137"/>
      <c r="O514" s="137"/>
    </row>
    <row r="515" customHeight="1" spans="3:15">
      <c r="C515" s="12"/>
      <c r="D515" s="12"/>
      <c r="E515" s="26"/>
      <c r="F515" s="26"/>
      <c r="G515" s="26"/>
      <c r="H515" s="26"/>
      <c r="I515" s="26"/>
      <c r="J515" s="26"/>
      <c r="L515" s="45"/>
      <c r="M515" s="45"/>
      <c r="N515" s="137"/>
      <c r="O515" s="137"/>
    </row>
    <row r="516" customHeight="1" spans="3:15">
      <c r="C516" s="12"/>
      <c r="D516" s="12"/>
      <c r="E516" s="26"/>
      <c r="F516" s="26"/>
      <c r="G516" s="26"/>
      <c r="H516" s="26"/>
      <c r="I516" s="26"/>
      <c r="J516" s="26"/>
      <c r="L516" s="45"/>
      <c r="M516" s="45"/>
      <c r="N516" s="137"/>
      <c r="O516" s="137"/>
    </row>
    <row r="517" customHeight="1" spans="3:15">
      <c r="C517" s="12"/>
      <c r="D517" s="12"/>
      <c r="E517" s="26"/>
      <c r="F517" s="26"/>
      <c r="G517" s="26"/>
      <c r="H517" s="26"/>
      <c r="I517" s="26"/>
      <c r="J517" s="26"/>
      <c r="L517" s="45"/>
      <c r="M517" s="45"/>
      <c r="N517" s="137"/>
      <c r="O517" s="137"/>
    </row>
    <row r="518" customHeight="1" spans="3:15">
      <c r="C518" s="12"/>
      <c r="D518" s="12"/>
      <c r="E518" s="26"/>
      <c r="F518" s="26"/>
      <c r="G518" s="26"/>
      <c r="H518" s="26"/>
      <c r="I518" s="26"/>
      <c r="J518" s="26"/>
      <c r="L518" s="45"/>
      <c r="M518" s="45"/>
      <c r="N518" s="137"/>
      <c r="O518" s="137"/>
    </row>
    <row r="519" customHeight="1" spans="3:15">
      <c r="C519" s="12"/>
      <c r="D519" s="12"/>
      <c r="E519" s="26"/>
      <c r="F519" s="26"/>
      <c r="G519" s="26"/>
      <c r="H519" s="26"/>
      <c r="I519" s="26"/>
      <c r="J519" s="26"/>
      <c r="L519" s="45"/>
      <c r="M519" s="45"/>
      <c r="N519" s="137"/>
      <c r="O519" s="137"/>
    </row>
    <row r="520" customHeight="1" spans="3:15">
      <c r="C520" s="12"/>
      <c r="D520" s="12"/>
      <c r="E520" s="26"/>
      <c r="F520" s="26"/>
      <c r="G520" s="26"/>
      <c r="H520" s="26"/>
      <c r="I520" s="26"/>
      <c r="J520" s="26"/>
      <c r="L520" s="45"/>
      <c r="M520" s="45"/>
      <c r="N520" s="137"/>
      <c r="O520" s="137"/>
    </row>
    <row r="521" customHeight="1" spans="3:15">
      <c r="C521" s="12"/>
      <c r="D521" s="12"/>
      <c r="E521" s="26"/>
      <c r="F521" s="26"/>
      <c r="G521" s="26"/>
      <c r="H521" s="26"/>
      <c r="I521" s="26"/>
      <c r="J521" s="26"/>
      <c r="L521" s="45"/>
      <c r="M521" s="45"/>
      <c r="N521" s="137"/>
      <c r="O521" s="137"/>
    </row>
    <row r="522" customHeight="1" spans="3:15">
      <c r="C522" s="12"/>
      <c r="D522" s="12"/>
      <c r="E522" s="26"/>
      <c r="F522" s="26"/>
      <c r="G522" s="26"/>
      <c r="H522" s="26"/>
      <c r="I522" s="26"/>
      <c r="J522" s="26"/>
      <c r="L522" s="45"/>
      <c r="M522" s="45"/>
      <c r="N522" s="137"/>
      <c r="O522" s="137"/>
    </row>
    <row r="523" customHeight="1" spans="3:15">
      <c r="C523" s="12"/>
      <c r="D523" s="12"/>
      <c r="E523" s="26"/>
      <c r="F523" s="26"/>
      <c r="G523" s="26"/>
      <c r="H523" s="26"/>
      <c r="I523" s="26"/>
      <c r="J523" s="26"/>
      <c r="L523" s="45"/>
      <c r="M523" s="45"/>
      <c r="N523" s="137"/>
      <c r="O523" s="137"/>
    </row>
    <row r="524" customHeight="1" spans="3:15">
      <c r="C524" s="12"/>
      <c r="D524" s="12"/>
      <c r="E524" s="26"/>
      <c r="F524" s="26"/>
      <c r="G524" s="26"/>
      <c r="H524" s="26"/>
      <c r="I524" s="26"/>
      <c r="J524" s="26"/>
      <c r="L524" s="45"/>
      <c r="M524" s="45"/>
      <c r="N524" s="137"/>
      <c r="O524" s="137"/>
    </row>
    <row r="525" customHeight="1" spans="3:15">
      <c r="C525" s="12"/>
      <c r="D525" s="12"/>
      <c r="E525" s="26"/>
      <c r="F525" s="26"/>
      <c r="G525" s="26"/>
      <c r="H525" s="26"/>
      <c r="I525" s="26"/>
      <c r="J525" s="26"/>
      <c r="L525" s="45"/>
      <c r="M525" s="45"/>
      <c r="N525" s="137"/>
      <c r="O525" s="137"/>
    </row>
    <row r="526" customHeight="1" spans="3:15">
      <c r="C526" s="12"/>
      <c r="D526" s="12"/>
      <c r="E526" s="26"/>
      <c r="F526" s="26"/>
      <c r="G526" s="26"/>
      <c r="H526" s="26"/>
      <c r="I526" s="26"/>
      <c r="J526" s="26"/>
      <c r="L526" s="45"/>
      <c r="M526" s="45"/>
      <c r="N526" s="137"/>
      <c r="O526" s="137"/>
    </row>
    <row r="527" customHeight="1" spans="3:15">
      <c r="C527" s="12"/>
      <c r="D527" s="12"/>
      <c r="E527" s="26"/>
      <c r="F527" s="26"/>
      <c r="G527" s="26"/>
      <c r="H527" s="26"/>
      <c r="I527" s="26"/>
      <c r="J527" s="26"/>
      <c r="L527" s="45"/>
      <c r="M527" s="45"/>
      <c r="N527" s="137"/>
      <c r="O527" s="137"/>
    </row>
    <row r="528" customHeight="1" spans="3:15">
      <c r="C528" s="12"/>
      <c r="D528" s="12"/>
      <c r="E528" s="26"/>
      <c r="F528" s="26"/>
      <c r="G528" s="26"/>
      <c r="H528" s="26"/>
      <c r="I528" s="26"/>
      <c r="J528" s="26"/>
      <c r="L528" s="45"/>
      <c r="M528" s="45"/>
      <c r="N528" s="137"/>
      <c r="O528" s="137"/>
    </row>
    <row r="529" customHeight="1" spans="3:15">
      <c r="C529" s="12"/>
      <c r="D529" s="12"/>
      <c r="E529" s="26"/>
      <c r="F529" s="26"/>
      <c r="G529" s="26"/>
      <c r="H529" s="26"/>
      <c r="I529" s="26"/>
      <c r="J529" s="26"/>
      <c r="L529" s="45"/>
      <c r="M529" s="45"/>
      <c r="N529" s="137"/>
      <c r="O529" s="137"/>
    </row>
    <row r="530" customHeight="1" spans="3:15">
      <c r="C530" s="12"/>
      <c r="D530" s="12"/>
      <c r="E530" s="26"/>
      <c r="F530" s="26"/>
      <c r="G530" s="26"/>
      <c r="H530" s="26"/>
      <c r="I530" s="26"/>
      <c r="J530" s="26"/>
      <c r="L530" s="45"/>
      <c r="M530" s="45"/>
      <c r="N530" s="137"/>
      <c r="O530" s="137"/>
    </row>
    <row r="531" customHeight="1" spans="3:15">
      <c r="C531" s="12"/>
      <c r="D531" s="12"/>
      <c r="E531" s="26"/>
      <c r="F531" s="26"/>
      <c r="G531" s="26"/>
      <c r="H531" s="26"/>
      <c r="I531" s="26"/>
      <c r="J531" s="26"/>
      <c r="L531" s="45"/>
      <c r="M531" s="45"/>
      <c r="N531" s="137"/>
      <c r="O531" s="137"/>
    </row>
    <row r="532" customHeight="1" spans="3:15">
      <c r="C532" s="12"/>
      <c r="D532" s="12"/>
      <c r="E532" s="26"/>
      <c r="F532" s="26"/>
      <c r="G532" s="26"/>
      <c r="H532" s="26"/>
      <c r="I532" s="26"/>
      <c r="J532" s="26"/>
      <c r="L532" s="45"/>
      <c r="M532" s="45"/>
      <c r="N532" s="137"/>
      <c r="O532" s="137"/>
    </row>
    <row r="533" customHeight="1" spans="3:15">
      <c r="C533" s="12"/>
      <c r="D533" s="12"/>
      <c r="E533" s="26"/>
      <c r="F533" s="26"/>
      <c r="G533" s="26"/>
      <c r="H533" s="26"/>
      <c r="I533" s="26"/>
      <c r="J533" s="26"/>
      <c r="L533" s="45"/>
      <c r="M533" s="45"/>
      <c r="N533" s="137"/>
      <c r="O533" s="137"/>
    </row>
    <row r="534" customHeight="1" spans="3:15">
      <c r="C534" s="12"/>
      <c r="D534" s="12"/>
      <c r="E534" s="26"/>
      <c r="F534" s="26"/>
      <c r="G534" s="26"/>
      <c r="H534" s="26"/>
      <c r="I534" s="26"/>
      <c r="J534" s="26"/>
      <c r="L534" s="45"/>
      <c r="M534" s="45"/>
      <c r="N534" s="137"/>
      <c r="O534" s="137"/>
    </row>
    <row r="535" customHeight="1" spans="3:15">
      <c r="C535" s="12"/>
      <c r="D535" s="12"/>
      <c r="E535" s="26"/>
      <c r="F535" s="26"/>
      <c r="G535" s="26"/>
      <c r="H535" s="26"/>
      <c r="I535" s="26"/>
      <c r="J535" s="26"/>
      <c r="L535" s="45"/>
      <c r="M535" s="45"/>
      <c r="N535" s="137"/>
      <c r="O535" s="137"/>
    </row>
    <row r="536" customHeight="1" spans="3:15">
      <c r="C536" s="12"/>
      <c r="D536" s="12"/>
      <c r="E536" s="26"/>
      <c r="F536" s="26"/>
      <c r="G536" s="26"/>
      <c r="H536" s="26"/>
      <c r="I536" s="26"/>
      <c r="J536" s="26"/>
      <c r="L536" s="45"/>
      <c r="M536" s="45"/>
      <c r="N536" s="137"/>
      <c r="O536" s="137"/>
    </row>
    <row r="537" customHeight="1" spans="3:15">
      <c r="C537" s="12"/>
      <c r="D537" s="12"/>
      <c r="E537" s="26"/>
      <c r="F537" s="26"/>
      <c r="G537" s="26"/>
      <c r="H537" s="26"/>
      <c r="I537" s="26"/>
      <c r="J537" s="26"/>
      <c r="L537" s="45"/>
      <c r="M537" s="45"/>
      <c r="N537" s="137"/>
      <c r="O537" s="137"/>
    </row>
    <row r="538" customHeight="1" spans="3:15">
      <c r="C538" s="12"/>
      <c r="D538" s="12"/>
      <c r="E538" s="26"/>
      <c r="F538" s="26"/>
      <c r="G538" s="26"/>
      <c r="H538" s="26"/>
      <c r="I538" s="26"/>
      <c r="J538" s="26"/>
      <c r="L538" s="45"/>
      <c r="M538" s="45"/>
      <c r="N538" s="137"/>
      <c r="O538" s="137"/>
    </row>
    <row r="539" customHeight="1" spans="3:15">
      <c r="C539" s="12"/>
      <c r="D539" s="12"/>
      <c r="E539" s="26"/>
      <c r="F539" s="26"/>
      <c r="G539" s="26"/>
      <c r="H539" s="26"/>
      <c r="I539" s="26"/>
      <c r="J539" s="26"/>
      <c r="L539" s="45"/>
      <c r="M539" s="45"/>
      <c r="N539" s="137"/>
      <c r="O539" s="137"/>
    </row>
    <row r="540" customHeight="1" spans="3:15">
      <c r="C540" s="12"/>
      <c r="D540" s="12"/>
      <c r="E540" s="26"/>
      <c r="F540" s="26"/>
      <c r="G540" s="26"/>
      <c r="H540" s="26"/>
      <c r="I540" s="26"/>
      <c r="J540" s="26"/>
      <c r="L540" s="45"/>
      <c r="M540" s="45"/>
      <c r="N540" s="137"/>
      <c r="O540" s="137"/>
    </row>
    <row r="541" customHeight="1" spans="3:15">
      <c r="C541" s="12"/>
      <c r="D541" s="12"/>
      <c r="E541" s="26"/>
      <c r="F541" s="26"/>
      <c r="G541" s="26"/>
      <c r="H541" s="26"/>
      <c r="I541" s="26"/>
      <c r="J541" s="26"/>
      <c r="L541" s="45"/>
      <c r="M541" s="45"/>
      <c r="N541" s="137"/>
      <c r="O541" s="137"/>
    </row>
    <row r="542" customHeight="1" spans="3:15">
      <c r="C542" s="12"/>
      <c r="D542" s="12"/>
      <c r="E542" s="26"/>
      <c r="F542" s="26"/>
      <c r="G542" s="26"/>
      <c r="H542" s="26"/>
      <c r="I542" s="26"/>
      <c r="J542" s="26"/>
      <c r="L542" s="45"/>
      <c r="M542" s="45"/>
      <c r="N542" s="137"/>
      <c r="O542" s="137"/>
    </row>
    <row r="543" customHeight="1" spans="3:15">
      <c r="C543" s="12"/>
      <c r="D543" s="12"/>
      <c r="E543" s="26"/>
      <c r="F543" s="26"/>
      <c r="G543" s="26"/>
      <c r="H543" s="26"/>
      <c r="I543" s="26"/>
      <c r="J543" s="26"/>
      <c r="L543" s="45"/>
      <c r="M543" s="45"/>
      <c r="N543" s="137"/>
      <c r="O543" s="137"/>
    </row>
    <row r="544" customHeight="1" spans="3:15">
      <c r="C544" s="12"/>
      <c r="D544" s="12"/>
      <c r="E544" s="26"/>
      <c r="F544" s="26"/>
      <c r="G544" s="26"/>
      <c r="H544" s="26"/>
      <c r="I544" s="26"/>
      <c r="J544" s="26"/>
      <c r="L544" s="45"/>
      <c r="M544" s="45"/>
      <c r="N544" s="137"/>
      <c r="O544" s="137"/>
    </row>
    <row r="545" customHeight="1" spans="3:15">
      <c r="C545" s="12"/>
      <c r="D545" s="12"/>
      <c r="E545" s="26"/>
      <c r="F545" s="26"/>
      <c r="G545" s="26"/>
      <c r="H545" s="26"/>
      <c r="I545" s="26"/>
      <c r="J545" s="26"/>
      <c r="L545" s="45"/>
      <c r="M545" s="45"/>
      <c r="N545" s="137"/>
      <c r="O545" s="137"/>
    </row>
    <row r="546" customHeight="1" spans="3:15">
      <c r="C546" s="12"/>
      <c r="D546" s="12"/>
      <c r="E546" s="26"/>
      <c r="F546" s="26"/>
      <c r="G546" s="26"/>
      <c r="H546" s="26"/>
      <c r="I546" s="26"/>
      <c r="J546" s="26"/>
      <c r="L546" s="45"/>
      <c r="M546" s="45"/>
      <c r="N546" s="137"/>
      <c r="O546" s="137"/>
    </row>
    <row r="547" customHeight="1" spans="3:15">
      <c r="C547" s="12"/>
      <c r="D547" s="12"/>
      <c r="E547" s="26"/>
      <c r="F547" s="26"/>
      <c r="G547" s="26"/>
      <c r="H547" s="26"/>
      <c r="I547" s="26"/>
      <c r="J547" s="26"/>
      <c r="L547" s="45"/>
      <c r="M547" s="45"/>
      <c r="N547" s="137"/>
      <c r="O547" s="137"/>
    </row>
    <row r="548" customHeight="1" spans="3:15">
      <c r="C548" s="12"/>
      <c r="D548" s="12"/>
      <c r="E548" s="26"/>
      <c r="F548" s="26"/>
      <c r="G548" s="26"/>
      <c r="H548" s="26"/>
      <c r="I548" s="26"/>
      <c r="J548" s="26"/>
      <c r="L548" s="45"/>
      <c r="M548" s="45"/>
      <c r="N548" s="137"/>
      <c r="O548" s="137"/>
    </row>
    <row r="549" customHeight="1" spans="3:15">
      <c r="C549" s="12"/>
      <c r="D549" s="12"/>
      <c r="E549" s="26"/>
      <c r="F549" s="26"/>
      <c r="G549" s="26"/>
      <c r="H549" s="26"/>
      <c r="I549" s="26"/>
      <c r="J549" s="26"/>
      <c r="L549" s="45"/>
      <c r="M549" s="45"/>
      <c r="N549" s="137"/>
      <c r="O549" s="137"/>
    </row>
    <row r="550" customHeight="1" spans="3:15">
      <c r="C550" s="12"/>
      <c r="D550" s="12"/>
      <c r="E550" s="26"/>
      <c r="F550" s="26"/>
      <c r="G550" s="26"/>
      <c r="H550" s="26"/>
      <c r="I550" s="26"/>
      <c r="J550" s="26"/>
      <c r="L550" s="45"/>
      <c r="M550" s="45"/>
      <c r="N550" s="137"/>
      <c r="O550" s="137"/>
    </row>
    <row r="551" customHeight="1" spans="3:15">
      <c r="C551" s="12"/>
      <c r="D551" s="12"/>
      <c r="E551" s="26"/>
      <c r="F551" s="26"/>
      <c r="G551" s="26"/>
      <c r="H551" s="26"/>
      <c r="I551" s="26"/>
      <c r="J551" s="26"/>
      <c r="L551" s="45"/>
      <c r="M551" s="45"/>
      <c r="N551" s="137"/>
      <c r="O551" s="137"/>
    </row>
    <row r="552" customHeight="1" spans="3:15">
      <c r="C552" s="12"/>
      <c r="D552" s="12"/>
      <c r="E552" s="26"/>
      <c r="F552" s="26"/>
      <c r="G552" s="26"/>
      <c r="H552" s="26"/>
      <c r="I552" s="26"/>
      <c r="J552" s="26"/>
      <c r="L552" s="45"/>
      <c r="M552" s="45"/>
      <c r="N552" s="137"/>
      <c r="O552" s="137"/>
    </row>
    <row r="553" customHeight="1" spans="3:15">
      <c r="C553" s="12"/>
      <c r="D553" s="12"/>
      <c r="E553" s="26"/>
      <c r="F553" s="26"/>
      <c r="G553" s="26"/>
      <c r="H553" s="26"/>
      <c r="I553" s="26"/>
      <c r="J553" s="26"/>
      <c r="L553" s="45"/>
      <c r="M553" s="45"/>
      <c r="N553" s="137"/>
      <c r="O553" s="137"/>
    </row>
    <row r="554" customHeight="1" spans="3:15">
      <c r="C554" s="12"/>
      <c r="D554" s="12"/>
      <c r="E554" s="26"/>
      <c r="F554" s="26"/>
      <c r="G554" s="26"/>
      <c r="H554" s="26"/>
      <c r="I554" s="26"/>
      <c r="J554" s="26"/>
      <c r="L554" s="45"/>
      <c r="M554" s="45"/>
      <c r="N554" s="137"/>
      <c r="O554" s="137"/>
    </row>
    <row r="555" customHeight="1" spans="3:15">
      <c r="C555" s="12"/>
      <c r="D555" s="12"/>
      <c r="E555" s="26"/>
      <c r="F555" s="26"/>
      <c r="G555" s="26"/>
      <c r="H555" s="26"/>
      <c r="I555" s="26"/>
      <c r="J555" s="26"/>
      <c r="L555" s="45"/>
      <c r="M555" s="45"/>
      <c r="N555" s="137"/>
      <c r="O555" s="137"/>
    </row>
    <row r="556" customHeight="1" spans="3:15">
      <c r="C556" s="12"/>
      <c r="D556" s="12"/>
      <c r="E556" s="26"/>
      <c r="F556" s="26"/>
      <c r="G556" s="26"/>
      <c r="H556" s="26"/>
      <c r="I556" s="26"/>
      <c r="J556" s="26"/>
      <c r="L556" s="45"/>
      <c r="M556" s="45"/>
      <c r="N556" s="137"/>
      <c r="O556" s="137"/>
    </row>
    <row r="557" customHeight="1" spans="3:15">
      <c r="C557" s="12"/>
      <c r="D557" s="12"/>
      <c r="E557" s="26"/>
      <c r="F557" s="26"/>
      <c r="G557" s="26"/>
      <c r="H557" s="26"/>
      <c r="I557" s="26"/>
      <c r="J557" s="26"/>
      <c r="L557" s="45"/>
      <c r="M557" s="45"/>
      <c r="N557" s="137"/>
      <c r="O557" s="137"/>
    </row>
    <row r="558" customHeight="1" spans="3:15">
      <c r="C558" s="12"/>
      <c r="D558" s="12"/>
      <c r="E558" s="26"/>
      <c r="F558" s="26"/>
      <c r="G558" s="26"/>
      <c r="H558" s="26"/>
      <c r="I558" s="26"/>
      <c r="J558" s="26"/>
      <c r="L558" s="45"/>
      <c r="M558" s="45"/>
      <c r="N558" s="137"/>
      <c r="O558" s="137"/>
    </row>
    <row r="559" customHeight="1" spans="3:15">
      <c r="C559" s="12"/>
      <c r="D559" s="12"/>
      <c r="E559" s="26"/>
      <c r="F559" s="26"/>
      <c r="G559" s="26"/>
      <c r="H559" s="26"/>
      <c r="I559" s="26"/>
      <c r="J559" s="26"/>
      <c r="L559" s="45"/>
      <c r="M559" s="45"/>
      <c r="N559" s="137"/>
      <c r="O559" s="137"/>
    </row>
    <row r="560" customHeight="1" spans="3:15">
      <c r="C560" s="12"/>
      <c r="D560" s="12"/>
      <c r="E560" s="26"/>
      <c r="F560" s="26"/>
      <c r="G560" s="26"/>
      <c r="H560" s="26"/>
      <c r="I560" s="26"/>
      <c r="J560" s="26"/>
      <c r="L560" s="45"/>
      <c r="M560" s="45"/>
      <c r="N560" s="137"/>
      <c r="O560" s="137"/>
    </row>
    <row r="561" customHeight="1" spans="3:15">
      <c r="C561" s="12"/>
      <c r="D561" s="12"/>
      <c r="E561" s="26"/>
      <c r="F561" s="26"/>
      <c r="G561" s="26"/>
      <c r="H561" s="26"/>
      <c r="I561" s="26"/>
      <c r="J561" s="26"/>
      <c r="L561" s="45"/>
      <c r="M561" s="45"/>
      <c r="N561" s="137"/>
      <c r="O561" s="137"/>
    </row>
    <row r="562" customHeight="1" spans="3:15">
      <c r="C562" s="12"/>
      <c r="D562" s="12"/>
      <c r="E562" s="26"/>
      <c r="F562" s="26"/>
      <c r="G562" s="26"/>
      <c r="H562" s="26"/>
      <c r="I562" s="26"/>
      <c r="J562" s="26"/>
      <c r="L562" s="45"/>
      <c r="M562" s="45"/>
      <c r="N562" s="137"/>
      <c r="O562" s="137"/>
    </row>
    <row r="563" customHeight="1" spans="3:15">
      <c r="C563" s="12"/>
      <c r="D563" s="12"/>
      <c r="E563" s="26"/>
      <c r="F563" s="26"/>
      <c r="G563" s="26"/>
      <c r="H563" s="26"/>
      <c r="I563" s="26"/>
      <c r="J563" s="26"/>
      <c r="L563" s="45"/>
      <c r="M563" s="45"/>
      <c r="N563" s="137"/>
      <c r="O563" s="137"/>
    </row>
    <row r="564" customHeight="1" spans="3:15">
      <c r="C564" s="12"/>
      <c r="D564" s="12"/>
      <c r="E564" s="26"/>
      <c r="F564" s="26"/>
      <c r="G564" s="26"/>
      <c r="H564" s="26"/>
      <c r="I564" s="26"/>
      <c r="J564" s="26"/>
      <c r="L564" s="45"/>
      <c r="M564" s="45"/>
      <c r="N564" s="137"/>
      <c r="O564" s="137"/>
    </row>
    <row r="565" customHeight="1" spans="3:15">
      <c r="C565" s="12"/>
      <c r="D565" s="12"/>
      <c r="E565" s="26"/>
      <c r="F565" s="26"/>
      <c r="G565" s="26"/>
      <c r="H565" s="26"/>
      <c r="I565" s="26"/>
      <c r="J565" s="26"/>
      <c r="L565" s="45"/>
      <c r="M565" s="45"/>
      <c r="N565" s="137"/>
      <c r="O565" s="137"/>
    </row>
    <row r="566" customHeight="1" spans="3:15">
      <c r="C566" s="12"/>
      <c r="D566" s="12"/>
      <c r="E566" s="26"/>
      <c r="F566" s="26"/>
      <c r="G566" s="26"/>
      <c r="H566" s="26"/>
      <c r="I566" s="26"/>
      <c r="J566" s="26"/>
      <c r="L566" s="45"/>
      <c r="M566" s="45"/>
      <c r="N566" s="137"/>
      <c r="O566" s="137"/>
    </row>
    <row r="567" customHeight="1" spans="3:15">
      <c r="C567" s="12"/>
      <c r="D567" s="12"/>
      <c r="E567" s="26"/>
      <c r="F567" s="26"/>
      <c r="G567" s="26"/>
      <c r="H567" s="26"/>
      <c r="I567" s="26"/>
      <c r="J567" s="26"/>
      <c r="L567" s="45"/>
      <c r="M567" s="45"/>
      <c r="N567" s="137"/>
      <c r="O567" s="137"/>
    </row>
    <row r="568" customHeight="1" spans="3:15">
      <c r="C568" s="12"/>
      <c r="D568" s="12"/>
      <c r="E568" s="26"/>
      <c r="F568" s="26"/>
      <c r="G568" s="26"/>
      <c r="H568" s="26"/>
      <c r="I568" s="26"/>
      <c r="J568" s="26"/>
      <c r="L568" s="45"/>
      <c r="M568" s="45"/>
      <c r="N568" s="137"/>
      <c r="O568" s="137"/>
    </row>
    <row r="569" customHeight="1" spans="3:15">
      <c r="C569" s="12"/>
      <c r="D569" s="12"/>
      <c r="E569" s="26"/>
      <c r="F569" s="26"/>
      <c r="G569" s="26"/>
      <c r="H569" s="26"/>
      <c r="I569" s="26"/>
      <c r="J569" s="26"/>
      <c r="L569" s="45"/>
      <c r="M569" s="45"/>
      <c r="N569" s="137"/>
      <c r="O569" s="137"/>
    </row>
    <row r="570" customHeight="1" spans="3:15">
      <c r="C570" s="12"/>
      <c r="D570" s="12"/>
      <c r="E570" s="26"/>
      <c r="F570" s="26"/>
      <c r="G570" s="26"/>
      <c r="H570" s="26"/>
      <c r="I570" s="26"/>
      <c r="J570" s="26"/>
      <c r="L570" s="45"/>
      <c r="M570" s="45"/>
      <c r="N570" s="137"/>
      <c r="O570" s="137"/>
    </row>
    <row r="571" customHeight="1" spans="3:15">
      <c r="C571" s="12"/>
      <c r="D571" s="12"/>
      <c r="E571" s="26"/>
      <c r="F571" s="26"/>
      <c r="G571" s="26"/>
      <c r="H571" s="26"/>
      <c r="I571" s="26"/>
      <c r="J571" s="26"/>
      <c r="L571" s="45"/>
      <c r="M571" s="45"/>
      <c r="N571" s="137"/>
      <c r="O571" s="137"/>
    </row>
    <row r="572" customHeight="1" spans="3:15">
      <c r="C572" s="12"/>
      <c r="D572" s="12"/>
      <c r="E572" s="26"/>
      <c r="F572" s="26"/>
      <c r="G572" s="26"/>
      <c r="H572" s="26"/>
      <c r="I572" s="26"/>
      <c r="J572" s="26"/>
      <c r="L572" s="45"/>
      <c r="M572" s="45"/>
      <c r="N572" s="137"/>
      <c r="O572" s="137"/>
    </row>
    <row r="573" customHeight="1" spans="3:15">
      <c r="C573" s="12"/>
      <c r="D573" s="12"/>
      <c r="E573" s="26"/>
      <c r="F573" s="26"/>
      <c r="G573" s="26"/>
      <c r="H573" s="26"/>
      <c r="I573" s="26"/>
      <c r="J573" s="26"/>
      <c r="L573" s="45"/>
      <c r="M573" s="45"/>
      <c r="N573" s="137"/>
      <c r="O573" s="137"/>
    </row>
    <row r="574" customHeight="1" spans="3:15">
      <c r="C574" s="12"/>
      <c r="D574" s="12"/>
      <c r="E574" s="26"/>
      <c r="F574" s="26"/>
      <c r="G574" s="26"/>
      <c r="H574" s="26"/>
      <c r="I574" s="26"/>
      <c r="J574" s="26"/>
      <c r="L574" s="45"/>
      <c r="M574" s="45"/>
      <c r="N574" s="137"/>
      <c r="O574" s="137"/>
    </row>
    <row r="575" customHeight="1" spans="3:15">
      <c r="C575" s="12"/>
      <c r="D575" s="12"/>
      <c r="E575" s="26"/>
      <c r="F575" s="26"/>
      <c r="G575" s="26"/>
      <c r="H575" s="26"/>
      <c r="I575" s="26"/>
      <c r="J575" s="26"/>
      <c r="L575" s="45"/>
      <c r="M575" s="45"/>
      <c r="N575" s="137"/>
      <c r="O575" s="137"/>
    </row>
    <row r="576" customHeight="1" spans="3:15">
      <c r="C576" s="12"/>
      <c r="D576" s="12"/>
      <c r="E576" s="26"/>
      <c r="F576" s="26"/>
      <c r="G576" s="26"/>
      <c r="H576" s="26"/>
      <c r="I576" s="26"/>
      <c r="J576" s="26"/>
      <c r="L576" s="45"/>
      <c r="M576" s="45"/>
      <c r="N576" s="137"/>
      <c r="O576" s="137"/>
    </row>
    <row r="577" customHeight="1" spans="3:15">
      <c r="C577" s="12"/>
      <c r="D577" s="12"/>
      <c r="E577" s="26"/>
      <c r="F577" s="26"/>
      <c r="G577" s="26"/>
      <c r="H577" s="26"/>
      <c r="I577" s="26"/>
      <c r="J577" s="26"/>
      <c r="L577" s="45"/>
      <c r="M577" s="45"/>
      <c r="N577" s="137"/>
      <c r="O577" s="137"/>
    </row>
    <row r="578" customHeight="1" spans="3:15">
      <c r="C578" s="12"/>
      <c r="D578" s="12"/>
      <c r="E578" s="26"/>
      <c r="F578" s="26"/>
      <c r="G578" s="26"/>
      <c r="H578" s="26"/>
      <c r="I578" s="26"/>
      <c r="J578" s="26"/>
      <c r="L578" s="45"/>
      <c r="M578" s="45"/>
      <c r="N578" s="137"/>
      <c r="O578" s="137"/>
    </row>
    <row r="579" customHeight="1" spans="3:15">
      <c r="C579" s="12"/>
      <c r="D579" s="12"/>
      <c r="E579" s="26"/>
      <c r="F579" s="26"/>
      <c r="G579" s="26"/>
      <c r="H579" s="26"/>
      <c r="I579" s="26"/>
      <c r="J579" s="26"/>
      <c r="L579" s="45"/>
      <c r="M579" s="45"/>
      <c r="N579" s="137"/>
      <c r="O579" s="137"/>
    </row>
    <row r="580" customHeight="1" spans="3:15">
      <c r="C580" s="12"/>
      <c r="D580" s="12"/>
      <c r="E580" s="26"/>
      <c r="F580" s="26"/>
      <c r="G580" s="26"/>
      <c r="H580" s="26"/>
      <c r="I580" s="26"/>
      <c r="J580" s="26"/>
      <c r="L580" s="45"/>
      <c r="M580" s="45"/>
      <c r="N580" s="137"/>
      <c r="O580" s="137"/>
    </row>
    <row r="581" customHeight="1" spans="3:15">
      <c r="C581" s="12"/>
      <c r="D581" s="12"/>
      <c r="E581" s="26"/>
      <c r="F581" s="26"/>
      <c r="G581" s="26"/>
      <c r="H581" s="26"/>
      <c r="I581" s="26"/>
      <c r="J581" s="26"/>
      <c r="L581" s="45"/>
      <c r="M581" s="45"/>
      <c r="N581" s="137"/>
      <c r="O581" s="137"/>
    </row>
    <row r="582" customHeight="1" spans="3:15">
      <c r="C582" s="12"/>
      <c r="D582" s="12"/>
      <c r="E582" s="26"/>
      <c r="F582" s="26"/>
      <c r="G582" s="26"/>
      <c r="H582" s="26"/>
      <c r="I582" s="26"/>
      <c r="J582" s="26"/>
      <c r="L582" s="45"/>
      <c r="M582" s="45"/>
      <c r="N582" s="137"/>
      <c r="O582" s="137"/>
    </row>
    <row r="583" customHeight="1" spans="3:15">
      <c r="C583" s="12"/>
      <c r="D583" s="12"/>
      <c r="E583" s="26"/>
      <c r="F583" s="26"/>
      <c r="G583" s="26"/>
      <c r="H583" s="26"/>
      <c r="I583" s="26"/>
      <c r="J583" s="26"/>
      <c r="L583" s="45"/>
      <c r="M583" s="45"/>
      <c r="N583" s="137"/>
      <c r="O583" s="137"/>
    </row>
    <row r="584" customHeight="1" spans="3:15">
      <c r="C584" s="12"/>
      <c r="D584" s="12"/>
      <c r="E584" s="26"/>
      <c r="F584" s="26"/>
      <c r="G584" s="26"/>
      <c r="H584" s="26"/>
      <c r="I584" s="26"/>
      <c r="J584" s="26"/>
      <c r="L584" s="45"/>
      <c r="M584" s="45"/>
      <c r="N584" s="137"/>
      <c r="O584" s="137"/>
    </row>
    <row r="585" customHeight="1" spans="3:15">
      <c r="C585" s="12"/>
      <c r="D585" s="12"/>
      <c r="E585" s="26"/>
      <c r="F585" s="26"/>
      <c r="G585" s="26"/>
      <c r="H585" s="26"/>
      <c r="I585" s="26"/>
      <c r="J585" s="26"/>
      <c r="L585" s="45"/>
      <c r="M585" s="45"/>
      <c r="N585" s="137"/>
      <c r="O585" s="137"/>
    </row>
    <row r="586" customHeight="1" spans="3:15">
      <c r="C586" s="12"/>
      <c r="D586" s="12"/>
      <c r="E586" s="26"/>
      <c r="F586" s="26"/>
      <c r="G586" s="26"/>
      <c r="H586" s="26"/>
      <c r="I586" s="26"/>
      <c r="J586" s="26"/>
      <c r="L586" s="45"/>
      <c r="M586" s="45"/>
      <c r="N586" s="137"/>
      <c r="O586" s="137"/>
    </row>
    <row r="587" customHeight="1" spans="3:15">
      <c r="C587" s="12"/>
      <c r="D587" s="12"/>
      <c r="E587" s="26"/>
      <c r="F587" s="26"/>
      <c r="G587" s="26"/>
      <c r="H587" s="26"/>
      <c r="I587" s="26"/>
      <c r="J587" s="26"/>
      <c r="L587" s="45"/>
      <c r="M587" s="45"/>
      <c r="N587" s="137"/>
      <c r="O587" s="137"/>
    </row>
    <row r="588" customHeight="1" spans="3:15">
      <c r="C588" s="12"/>
      <c r="D588" s="12"/>
      <c r="E588" s="26"/>
      <c r="F588" s="26"/>
      <c r="G588" s="26"/>
      <c r="H588" s="26"/>
      <c r="I588" s="26"/>
      <c r="J588" s="26"/>
      <c r="L588" s="45"/>
      <c r="M588" s="45"/>
      <c r="N588" s="137"/>
      <c r="O588" s="137"/>
    </row>
    <row r="589" customHeight="1" spans="3:15">
      <c r="C589" s="12"/>
      <c r="D589" s="12"/>
      <c r="E589" s="26"/>
      <c r="F589" s="26"/>
      <c r="G589" s="26"/>
      <c r="H589" s="26"/>
      <c r="I589" s="26"/>
      <c r="J589" s="26"/>
      <c r="L589" s="45"/>
      <c r="M589" s="45"/>
      <c r="N589" s="137"/>
      <c r="O589" s="137"/>
    </row>
    <row r="590" customHeight="1" spans="3:15">
      <c r="C590" s="12"/>
      <c r="D590" s="12"/>
      <c r="E590" s="26"/>
      <c r="F590" s="26"/>
      <c r="G590" s="26"/>
      <c r="H590" s="26"/>
      <c r="I590" s="26"/>
      <c r="J590" s="26"/>
      <c r="L590" s="45"/>
      <c r="M590" s="45"/>
      <c r="N590" s="137"/>
      <c r="O590" s="137"/>
    </row>
    <row r="591" customHeight="1" spans="3:15">
      <c r="C591" s="12"/>
      <c r="D591" s="12"/>
      <c r="E591" s="26"/>
      <c r="F591" s="26"/>
      <c r="G591" s="26"/>
      <c r="H591" s="26"/>
      <c r="I591" s="26"/>
      <c r="J591" s="26"/>
      <c r="L591" s="45"/>
      <c r="M591" s="45"/>
      <c r="N591" s="137"/>
      <c r="O591" s="137"/>
    </row>
    <row r="592" customHeight="1" spans="3:15">
      <c r="C592" s="12"/>
      <c r="D592" s="12"/>
      <c r="E592" s="26"/>
      <c r="F592" s="26"/>
      <c r="G592" s="26"/>
      <c r="H592" s="26"/>
      <c r="I592" s="26"/>
      <c r="J592" s="26"/>
      <c r="L592" s="45"/>
      <c r="M592" s="45"/>
      <c r="N592" s="137"/>
      <c r="O592" s="137"/>
    </row>
    <row r="593" customHeight="1" spans="3:15">
      <c r="C593" s="12"/>
      <c r="D593" s="12"/>
      <c r="E593" s="26"/>
      <c r="F593" s="26"/>
      <c r="G593" s="26"/>
      <c r="H593" s="26"/>
      <c r="I593" s="26"/>
      <c r="J593" s="26"/>
      <c r="L593" s="45"/>
      <c r="M593" s="45"/>
      <c r="N593" s="137"/>
      <c r="O593" s="137"/>
    </row>
    <row r="594" customHeight="1" spans="3:15">
      <c r="C594" s="12"/>
      <c r="D594" s="12"/>
      <c r="E594" s="26"/>
      <c r="F594" s="26"/>
      <c r="G594" s="26"/>
      <c r="H594" s="26"/>
      <c r="I594" s="26"/>
      <c r="J594" s="26"/>
      <c r="L594" s="45"/>
      <c r="M594" s="45"/>
      <c r="N594" s="137"/>
      <c r="O594" s="137"/>
    </row>
    <row r="595" customHeight="1" spans="3:15">
      <c r="C595" s="12"/>
      <c r="D595" s="12"/>
      <c r="E595" s="26"/>
      <c r="F595" s="26"/>
      <c r="G595" s="26"/>
      <c r="H595" s="26"/>
      <c r="I595" s="26"/>
      <c r="J595" s="26"/>
      <c r="L595" s="45"/>
      <c r="M595" s="45"/>
      <c r="N595" s="137"/>
      <c r="O595" s="137"/>
    </row>
    <row r="596" customHeight="1" spans="3:15">
      <c r="C596" s="12"/>
      <c r="D596" s="12"/>
      <c r="E596" s="26"/>
      <c r="F596" s="26"/>
      <c r="G596" s="26"/>
      <c r="H596" s="26"/>
      <c r="I596" s="26"/>
      <c r="J596" s="26"/>
      <c r="L596" s="45"/>
      <c r="M596" s="45"/>
      <c r="N596" s="137"/>
      <c r="O596" s="137"/>
    </row>
    <row r="597" customHeight="1" spans="3:15">
      <c r="C597" s="12"/>
      <c r="D597" s="12"/>
      <c r="E597" s="26"/>
      <c r="F597" s="26"/>
      <c r="G597" s="26"/>
      <c r="H597" s="26"/>
      <c r="I597" s="26"/>
      <c r="J597" s="26"/>
      <c r="L597" s="45"/>
      <c r="M597" s="45"/>
      <c r="N597" s="137"/>
      <c r="O597" s="137"/>
    </row>
    <row r="598" customHeight="1" spans="3:15">
      <c r="C598" s="12"/>
      <c r="D598" s="12"/>
      <c r="E598" s="26"/>
      <c r="F598" s="26"/>
      <c r="G598" s="26"/>
      <c r="H598" s="26"/>
      <c r="I598" s="26"/>
      <c r="J598" s="26"/>
      <c r="L598" s="45"/>
      <c r="M598" s="45"/>
      <c r="N598" s="137"/>
      <c r="O598" s="137"/>
    </row>
    <row r="599" customHeight="1" spans="3:15">
      <c r="C599" s="12"/>
      <c r="D599" s="12"/>
      <c r="E599" s="26"/>
      <c r="F599" s="26"/>
      <c r="G599" s="26"/>
      <c r="H599" s="26"/>
      <c r="I599" s="26"/>
      <c r="J599" s="26"/>
      <c r="L599" s="45"/>
      <c r="M599" s="45"/>
      <c r="N599" s="137"/>
      <c r="O599" s="137"/>
    </row>
    <row r="600" customHeight="1" spans="3:15">
      <c r="C600" s="12"/>
      <c r="D600" s="12"/>
      <c r="E600" s="26"/>
      <c r="F600" s="26"/>
      <c r="G600" s="26"/>
      <c r="H600" s="26"/>
      <c r="I600" s="26"/>
      <c r="J600" s="26"/>
      <c r="L600" s="45"/>
      <c r="M600" s="45"/>
      <c r="N600" s="137"/>
      <c r="O600" s="137"/>
    </row>
    <row r="601" customHeight="1" spans="3:15">
      <c r="C601" s="12"/>
      <c r="D601" s="12"/>
      <c r="E601" s="26"/>
      <c r="F601" s="26"/>
      <c r="G601" s="26"/>
      <c r="H601" s="26"/>
      <c r="I601" s="26"/>
      <c r="J601" s="26"/>
      <c r="L601" s="45"/>
      <c r="M601" s="45"/>
      <c r="N601" s="137"/>
      <c r="O601" s="137"/>
    </row>
    <row r="602" customHeight="1" spans="3:15">
      <c r="C602" s="12"/>
      <c r="D602" s="12"/>
      <c r="E602" s="26"/>
      <c r="F602" s="26"/>
      <c r="G602" s="26"/>
      <c r="H602" s="26"/>
      <c r="I602" s="26"/>
      <c r="J602" s="26"/>
      <c r="L602" s="45"/>
      <c r="M602" s="45"/>
      <c r="N602" s="137"/>
      <c r="O602" s="137"/>
    </row>
    <row r="603" customHeight="1" spans="3:15">
      <c r="C603" s="12"/>
      <c r="D603" s="12"/>
      <c r="E603" s="26"/>
      <c r="F603" s="26"/>
      <c r="G603" s="26"/>
      <c r="H603" s="26"/>
      <c r="I603" s="26"/>
      <c r="J603" s="26"/>
      <c r="L603" s="45"/>
      <c r="M603" s="45"/>
      <c r="N603" s="137"/>
      <c r="O603" s="137"/>
    </row>
    <row r="604" customHeight="1" spans="3:15">
      <c r="C604" s="12"/>
      <c r="D604" s="12"/>
      <c r="E604" s="26"/>
      <c r="F604" s="26"/>
      <c r="G604" s="26"/>
      <c r="H604" s="26"/>
      <c r="I604" s="26"/>
      <c r="J604" s="26"/>
      <c r="L604" s="45"/>
      <c r="M604" s="45"/>
      <c r="N604" s="137"/>
      <c r="O604" s="137"/>
    </row>
    <row r="605" customHeight="1" spans="3:15">
      <c r="C605" s="12"/>
      <c r="D605" s="12"/>
      <c r="E605" s="26"/>
      <c r="F605" s="26"/>
      <c r="G605" s="26"/>
      <c r="H605" s="26"/>
      <c r="I605" s="26"/>
      <c r="J605" s="26"/>
      <c r="L605" s="45"/>
      <c r="M605" s="45"/>
      <c r="N605" s="137"/>
      <c r="O605" s="137"/>
    </row>
    <row r="606" customHeight="1" spans="3:15">
      <c r="C606" s="12"/>
      <c r="D606" s="12"/>
      <c r="E606" s="26"/>
      <c r="F606" s="26"/>
      <c r="G606" s="26"/>
      <c r="H606" s="26"/>
      <c r="I606" s="26"/>
      <c r="J606" s="26"/>
      <c r="L606" s="45"/>
      <c r="M606" s="45"/>
      <c r="N606" s="137"/>
      <c r="O606" s="137"/>
    </row>
    <row r="607" customHeight="1" spans="3:15">
      <c r="C607" s="12"/>
      <c r="D607" s="12"/>
      <c r="E607" s="26"/>
      <c r="F607" s="26"/>
      <c r="G607" s="26"/>
      <c r="H607" s="26"/>
      <c r="I607" s="26"/>
      <c r="J607" s="26"/>
      <c r="L607" s="45"/>
      <c r="M607" s="45"/>
      <c r="N607" s="137"/>
      <c r="O607" s="137"/>
    </row>
    <row r="608" customHeight="1" spans="3:15">
      <c r="C608" s="12"/>
      <c r="D608" s="12"/>
      <c r="E608" s="26"/>
      <c r="F608" s="26"/>
      <c r="G608" s="26"/>
      <c r="H608" s="26"/>
      <c r="I608" s="26"/>
      <c r="J608" s="26"/>
      <c r="L608" s="45"/>
      <c r="M608" s="45"/>
      <c r="N608" s="137"/>
      <c r="O608" s="137"/>
    </row>
    <row r="609" customHeight="1" spans="3:15">
      <c r="C609" s="12"/>
      <c r="D609" s="12"/>
      <c r="E609" s="26"/>
      <c r="F609" s="26"/>
      <c r="G609" s="26"/>
      <c r="H609" s="26"/>
      <c r="I609" s="26"/>
      <c r="J609" s="26"/>
      <c r="L609" s="45"/>
      <c r="M609" s="45"/>
      <c r="N609" s="137"/>
      <c r="O609" s="137"/>
    </row>
    <row r="610" customHeight="1" spans="3:15">
      <c r="C610" s="12"/>
      <c r="D610" s="12"/>
      <c r="E610" s="26"/>
      <c r="F610" s="26"/>
      <c r="G610" s="26"/>
      <c r="H610" s="26"/>
      <c r="I610" s="26"/>
      <c r="J610" s="26"/>
      <c r="L610" s="45"/>
      <c r="M610" s="45"/>
      <c r="N610" s="137"/>
      <c r="O610" s="137"/>
    </row>
    <row r="611" customHeight="1" spans="3:15">
      <c r="C611" s="12"/>
      <c r="D611" s="12"/>
      <c r="E611" s="26"/>
      <c r="F611" s="26"/>
      <c r="G611" s="26"/>
      <c r="H611" s="26"/>
      <c r="I611" s="26"/>
      <c r="J611" s="26"/>
      <c r="L611" s="45"/>
      <c r="M611" s="45"/>
      <c r="N611" s="137"/>
      <c r="O611" s="137"/>
    </row>
    <row r="612" customHeight="1" spans="3:15">
      <c r="C612" s="12"/>
      <c r="D612" s="12"/>
      <c r="E612" s="26"/>
      <c r="F612" s="26"/>
      <c r="G612" s="26"/>
      <c r="H612" s="26"/>
      <c r="I612" s="26"/>
      <c r="J612" s="26"/>
      <c r="L612" s="45"/>
      <c r="M612" s="45"/>
      <c r="N612" s="137"/>
      <c r="O612" s="137"/>
    </row>
    <row r="613" customHeight="1" spans="3:15">
      <c r="C613" s="12"/>
      <c r="D613" s="12"/>
      <c r="E613" s="26"/>
      <c r="F613" s="26"/>
      <c r="G613" s="26"/>
      <c r="H613" s="26"/>
      <c r="I613" s="26"/>
      <c r="J613" s="26"/>
      <c r="L613" s="45"/>
      <c r="M613" s="45"/>
      <c r="N613" s="137"/>
      <c r="O613" s="137"/>
    </row>
    <row r="614" customHeight="1" spans="3:15">
      <c r="C614" s="12"/>
      <c r="D614" s="12"/>
      <c r="E614" s="26"/>
      <c r="F614" s="26"/>
      <c r="G614" s="26"/>
      <c r="H614" s="26"/>
      <c r="I614" s="26"/>
      <c r="J614" s="26"/>
      <c r="L614" s="45"/>
      <c r="M614" s="45"/>
      <c r="N614" s="137"/>
      <c r="O614" s="137"/>
    </row>
    <row r="615" customHeight="1" spans="3:15">
      <c r="C615" s="12"/>
      <c r="D615" s="12"/>
      <c r="E615" s="26"/>
      <c r="F615" s="26"/>
      <c r="G615" s="26"/>
      <c r="H615" s="26"/>
      <c r="I615" s="26"/>
      <c r="J615" s="26"/>
      <c r="L615" s="45"/>
      <c r="M615" s="45"/>
      <c r="N615" s="137"/>
      <c r="O615" s="137"/>
    </row>
    <row r="616" customHeight="1" spans="3:15">
      <c r="C616" s="12"/>
      <c r="D616" s="12"/>
      <c r="E616" s="26"/>
      <c r="F616" s="26"/>
      <c r="G616" s="26"/>
      <c r="H616" s="26"/>
      <c r="I616" s="26"/>
      <c r="J616" s="26"/>
      <c r="L616" s="45"/>
      <c r="M616" s="45"/>
      <c r="N616" s="137"/>
      <c r="O616" s="137"/>
    </row>
    <row r="617" customHeight="1" spans="3:15">
      <c r="C617" s="12"/>
      <c r="D617" s="12"/>
      <c r="E617" s="26"/>
      <c r="F617" s="26"/>
      <c r="G617" s="26"/>
      <c r="H617" s="26"/>
      <c r="I617" s="26"/>
      <c r="J617" s="26"/>
      <c r="L617" s="45"/>
      <c r="M617" s="45"/>
      <c r="N617" s="137"/>
      <c r="O617" s="137"/>
    </row>
    <row r="618" customHeight="1" spans="3:15">
      <c r="C618" s="12"/>
      <c r="D618" s="12"/>
      <c r="E618" s="26"/>
      <c r="F618" s="26"/>
      <c r="G618" s="26"/>
      <c r="H618" s="26"/>
      <c r="I618" s="26"/>
      <c r="J618" s="26"/>
      <c r="L618" s="45"/>
      <c r="M618" s="45"/>
      <c r="N618" s="137"/>
      <c r="O618" s="137"/>
    </row>
    <row r="619" customHeight="1" spans="3:15">
      <c r="C619" s="12"/>
      <c r="D619" s="12"/>
      <c r="E619" s="26"/>
      <c r="F619" s="26"/>
      <c r="G619" s="26"/>
      <c r="H619" s="26"/>
      <c r="I619" s="26"/>
      <c r="J619" s="26"/>
      <c r="L619" s="45"/>
      <c r="M619" s="45"/>
      <c r="N619" s="137"/>
      <c r="O619" s="137"/>
    </row>
    <row r="620" customHeight="1" spans="3:15">
      <c r="C620" s="12"/>
      <c r="D620" s="12"/>
      <c r="E620" s="26"/>
      <c r="F620" s="26"/>
      <c r="G620" s="26"/>
      <c r="H620" s="26"/>
      <c r="I620" s="26"/>
      <c r="J620" s="26"/>
      <c r="L620" s="45"/>
      <c r="M620" s="45"/>
      <c r="N620" s="137"/>
      <c r="O620" s="137"/>
    </row>
    <row r="621" customHeight="1" spans="3:15">
      <c r="C621" s="12"/>
      <c r="D621" s="12"/>
      <c r="E621" s="26"/>
      <c r="F621" s="26"/>
      <c r="G621" s="26"/>
      <c r="H621" s="26"/>
      <c r="I621" s="26"/>
      <c r="J621" s="26"/>
      <c r="L621" s="45"/>
      <c r="M621" s="45"/>
      <c r="N621" s="137"/>
      <c r="O621" s="137"/>
    </row>
    <row r="622" customHeight="1" spans="3:15">
      <c r="C622" s="12"/>
      <c r="D622" s="12"/>
      <c r="E622" s="26"/>
      <c r="F622" s="26"/>
      <c r="G622" s="26"/>
      <c r="H622" s="26"/>
      <c r="I622" s="26"/>
      <c r="J622" s="26"/>
      <c r="L622" s="45"/>
      <c r="M622" s="45"/>
      <c r="N622" s="137"/>
      <c r="O622" s="137"/>
    </row>
    <row r="623" customHeight="1" spans="3:15">
      <c r="C623" s="12"/>
      <c r="D623" s="12"/>
      <c r="E623" s="26"/>
      <c r="F623" s="26"/>
      <c r="G623" s="26"/>
      <c r="H623" s="26"/>
      <c r="I623" s="26"/>
      <c r="J623" s="26"/>
      <c r="L623" s="45"/>
      <c r="M623" s="45"/>
      <c r="N623" s="137"/>
      <c r="O623" s="137"/>
    </row>
    <row r="624" customHeight="1" spans="3:15">
      <c r="C624" s="12"/>
      <c r="D624" s="12"/>
      <c r="E624" s="26"/>
      <c r="F624" s="26"/>
      <c r="G624" s="26"/>
      <c r="H624" s="26"/>
      <c r="I624" s="26"/>
      <c r="J624" s="26"/>
      <c r="L624" s="45"/>
      <c r="M624" s="45"/>
      <c r="N624" s="137"/>
      <c r="O624" s="137"/>
    </row>
    <row r="625" customHeight="1" spans="3:15">
      <c r="C625" s="12"/>
      <c r="D625" s="12"/>
      <c r="E625" s="26"/>
      <c r="F625" s="26"/>
      <c r="G625" s="26"/>
      <c r="H625" s="26"/>
      <c r="I625" s="26"/>
      <c r="J625" s="26"/>
      <c r="L625" s="45"/>
      <c r="M625" s="45"/>
      <c r="N625" s="137"/>
      <c r="O625" s="137"/>
    </row>
    <row r="626" customHeight="1" spans="3:15">
      <c r="C626" s="12"/>
      <c r="D626" s="12"/>
      <c r="E626" s="26"/>
      <c r="F626" s="26"/>
      <c r="G626" s="26"/>
      <c r="H626" s="26"/>
      <c r="I626" s="26"/>
      <c r="J626" s="26"/>
      <c r="L626" s="45"/>
      <c r="M626" s="45"/>
      <c r="N626" s="137"/>
      <c r="O626" s="137"/>
    </row>
    <row r="627" customHeight="1" spans="3:15">
      <c r="C627" s="12"/>
      <c r="D627" s="12"/>
      <c r="E627" s="26"/>
      <c r="F627" s="26"/>
      <c r="G627" s="26"/>
      <c r="H627" s="26"/>
      <c r="I627" s="26"/>
      <c r="J627" s="26"/>
      <c r="L627" s="45"/>
      <c r="M627" s="45"/>
      <c r="N627" s="137"/>
      <c r="O627" s="137"/>
    </row>
    <row r="628" customHeight="1" spans="3:15">
      <c r="C628" s="12"/>
      <c r="D628" s="12"/>
      <c r="E628" s="26"/>
      <c r="F628" s="26"/>
      <c r="G628" s="26"/>
      <c r="H628" s="26"/>
      <c r="I628" s="26"/>
      <c r="J628" s="26"/>
      <c r="L628" s="45"/>
      <c r="M628" s="45"/>
      <c r="N628" s="137"/>
      <c r="O628" s="137"/>
    </row>
    <row r="629" customHeight="1" spans="3:15">
      <c r="C629" s="12"/>
      <c r="D629" s="12"/>
      <c r="E629" s="26"/>
      <c r="F629" s="26"/>
      <c r="G629" s="26"/>
      <c r="H629" s="26"/>
      <c r="I629" s="26"/>
      <c r="J629" s="26"/>
      <c r="L629" s="45"/>
      <c r="M629" s="45"/>
      <c r="N629" s="137"/>
      <c r="O629" s="137"/>
    </row>
    <row r="630" customHeight="1" spans="3:15">
      <c r="C630" s="12"/>
      <c r="D630" s="12"/>
      <c r="E630" s="26"/>
      <c r="F630" s="26"/>
      <c r="G630" s="26"/>
      <c r="H630" s="26"/>
      <c r="I630" s="26"/>
      <c r="J630" s="26"/>
      <c r="L630" s="45"/>
      <c r="M630" s="45"/>
      <c r="N630" s="137"/>
      <c r="O630" s="137"/>
    </row>
    <row r="631" customHeight="1" spans="3:15">
      <c r="C631" s="12"/>
      <c r="D631" s="12"/>
      <c r="E631" s="26"/>
      <c r="F631" s="26"/>
      <c r="G631" s="26"/>
      <c r="H631" s="26"/>
      <c r="I631" s="26"/>
      <c r="J631" s="26"/>
      <c r="L631" s="45"/>
      <c r="M631" s="45"/>
      <c r="N631" s="137"/>
      <c r="O631" s="137"/>
    </row>
    <row r="632" customHeight="1" spans="3:15">
      <c r="C632" s="12"/>
      <c r="D632" s="12"/>
      <c r="E632" s="26"/>
      <c r="F632" s="26"/>
      <c r="G632" s="26"/>
      <c r="H632" s="26"/>
      <c r="I632" s="26"/>
      <c r="J632" s="26"/>
      <c r="L632" s="45"/>
      <c r="M632" s="45"/>
      <c r="N632" s="137"/>
      <c r="O632" s="137"/>
    </row>
    <row r="633" customHeight="1" spans="3:15">
      <c r="C633" s="12"/>
      <c r="D633" s="12"/>
      <c r="E633" s="26"/>
      <c r="F633" s="26"/>
      <c r="G633" s="26"/>
      <c r="H633" s="26"/>
      <c r="I633" s="26"/>
      <c r="J633" s="26"/>
      <c r="L633" s="45"/>
      <c r="M633" s="45"/>
      <c r="N633" s="137"/>
      <c r="O633" s="137"/>
    </row>
    <row r="634" customHeight="1" spans="3:15">
      <c r="C634" s="12"/>
      <c r="D634" s="12"/>
      <c r="E634" s="26"/>
      <c r="F634" s="26"/>
      <c r="G634" s="26"/>
      <c r="H634" s="26"/>
      <c r="I634" s="26"/>
      <c r="J634" s="26"/>
      <c r="L634" s="45"/>
      <c r="M634" s="45"/>
      <c r="N634" s="137"/>
      <c r="O634" s="137"/>
    </row>
    <row r="635" customHeight="1" spans="3:15">
      <c r="C635" s="12"/>
      <c r="D635" s="12"/>
      <c r="E635" s="26"/>
      <c r="F635" s="26"/>
      <c r="G635" s="26"/>
      <c r="H635" s="26"/>
      <c r="I635" s="26"/>
      <c r="J635" s="26"/>
      <c r="L635" s="45"/>
      <c r="M635" s="45"/>
      <c r="N635" s="137"/>
      <c r="O635" s="137"/>
    </row>
    <row r="636" customHeight="1" spans="3:15">
      <c r="C636" s="12"/>
      <c r="D636" s="12"/>
      <c r="E636" s="26"/>
      <c r="F636" s="26"/>
      <c r="G636" s="26"/>
      <c r="H636" s="26"/>
      <c r="I636" s="26"/>
      <c r="J636" s="26"/>
      <c r="L636" s="45"/>
      <c r="M636" s="45"/>
      <c r="N636" s="137"/>
      <c r="O636" s="137"/>
    </row>
    <row r="637" customHeight="1" spans="3:15">
      <c r="C637" s="12"/>
      <c r="D637" s="12"/>
      <c r="E637" s="26"/>
      <c r="F637" s="26"/>
      <c r="G637" s="26"/>
      <c r="H637" s="26"/>
      <c r="I637" s="26"/>
      <c r="J637" s="26"/>
      <c r="L637" s="45"/>
      <c r="M637" s="45"/>
      <c r="N637" s="137"/>
      <c r="O637" s="137"/>
    </row>
    <row r="638" customHeight="1" spans="3:15">
      <c r="C638" s="12"/>
      <c r="D638" s="12"/>
      <c r="E638" s="26"/>
      <c r="F638" s="26"/>
      <c r="G638" s="26"/>
      <c r="H638" s="26"/>
      <c r="I638" s="26"/>
      <c r="J638" s="26"/>
      <c r="L638" s="45"/>
      <c r="M638" s="45"/>
      <c r="N638" s="137"/>
      <c r="O638" s="137"/>
    </row>
    <row r="639" customHeight="1" spans="3:15">
      <c r="C639" s="12"/>
      <c r="D639" s="12"/>
      <c r="E639" s="26"/>
      <c r="F639" s="26"/>
      <c r="G639" s="26"/>
      <c r="H639" s="26"/>
      <c r="I639" s="26"/>
      <c r="J639" s="26"/>
      <c r="L639" s="45"/>
      <c r="M639" s="45"/>
      <c r="N639" s="137"/>
      <c r="O639" s="137"/>
    </row>
    <row r="640" customHeight="1" spans="3:15">
      <c r="C640" s="12"/>
      <c r="D640" s="12"/>
      <c r="E640" s="26"/>
      <c r="F640" s="26"/>
      <c r="G640" s="26"/>
      <c r="H640" s="26"/>
      <c r="I640" s="26"/>
      <c r="J640" s="26"/>
      <c r="L640" s="45"/>
      <c r="M640" s="45"/>
      <c r="N640" s="137"/>
      <c r="O640" s="137"/>
    </row>
    <row r="641" customHeight="1" spans="3:15">
      <c r="C641" s="12"/>
      <c r="D641" s="12"/>
      <c r="E641" s="26"/>
      <c r="F641" s="26"/>
      <c r="G641" s="26"/>
      <c r="H641" s="26"/>
      <c r="I641" s="26"/>
      <c r="J641" s="26"/>
      <c r="L641" s="45"/>
      <c r="M641" s="45"/>
      <c r="N641" s="137"/>
      <c r="O641" s="137"/>
    </row>
    <row r="642" customHeight="1" spans="3:15">
      <c r="C642" s="12"/>
      <c r="D642" s="12"/>
      <c r="E642" s="26"/>
      <c r="F642" s="26"/>
      <c r="G642" s="26"/>
      <c r="H642" s="26"/>
      <c r="I642" s="26"/>
      <c r="J642" s="26"/>
      <c r="L642" s="45"/>
      <c r="M642" s="45"/>
      <c r="N642" s="137"/>
      <c r="O642" s="137"/>
    </row>
    <row r="643" customHeight="1" spans="3:15">
      <c r="C643" s="12"/>
      <c r="D643" s="12"/>
      <c r="E643" s="26"/>
      <c r="F643" s="26"/>
      <c r="G643" s="26"/>
      <c r="H643" s="26"/>
      <c r="I643" s="26"/>
      <c r="J643" s="26"/>
      <c r="L643" s="45"/>
      <c r="M643" s="45"/>
      <c r="N643" s="137"/>
      <c r="O643" s="137"/>
    </row>
    <row r="644" customHeight="1" spans="3:15">
      <c r="C644" s="12"/>
      <c r="D644" s="12"/>
      <c r="E644" s="26"/>
      <c r="F644" s="26"/>
      <c r="G644" s="26"/>
      <c r="H644" s="26"/>
      <c r="I644" s="26"/>
      <c r="J644" s="26"/>
      <c r="L644" s="45"/>
      <c r="M644" s="45"/>
      <c r="N644" s="137"/>
      <c r="O644" s="137"/>
    </row>
    <row r="645" customHeight="1" spans="3:15">
      <c r="C645" s="12"/>
      <c r="D645" s="12"/>
      <c r="E645" s="26"/>
      <c r="F645" s="26"/>
      <c r="G645" s="26"/>
      <c r="H645" s="26"/>
      <c r="I645" s="26"/>
      <c r="J645" s="26"/>
      <c r="L645" s="45"/>
      <c r="M645" s="45"/>
      <c r="N645" s="137"/>
      <c r="O645" s="137"/>
    </row>
    <row r="646" customHeight="1" spans="3:15">
      <c r="C646" s="12"/>
      <c r="D646" s="12"/>
      <c r="E646" s="26"/>
      <c r="F646" s="26"/>
      <c r="G646" s="26"/>
      <c r="H646" s="26"/>
      <c r="I646" s="26"/>
      <c r="J646" s="26"/>
      <c r="L646" s="45"/>
      <c r="M646" s="45"/>
      <c r="N646" s="137"/>
      <c r="O646" s="137"/>
    </row>
    <row r="647" customHeight="1" spans="3:15">
      <c r="C647" s="12"/>
      <c r="D647" s="12"/>
      <c r="E647" s="26"/>
      <c r="F647" s="26"/>
      <c r="G647" s="26"/>
      <c r="H647" s="26"/>
      <c r="I647" s="26"/>
      <c r="J647" s="26"/>
      <c r="L647" s="45"/>
      <c r="M647" s="45"/>
      <c r="N647" s="137"/>
      <c r="O647" s="137"/>
    </row>
    <row r="648" customHeight="1" spans="3:15">
      <c r="C648" s="12"/>
      <c r="D648" s="12"/>
      <c r="E648" s="26"/>
      <c r="F648" s="26"/>
      <c r="G648" s="26"/>
      <c r="H648" s="26"/>
      <c r="I648" s="26"/>
      <c r="J648" s="26"/>
      <c r="L648" s="45"/>
      <c r="M648" s="45"/>
      <c r="N648" s="137"/>
      <c r="O648" s="137"/>
    </row>
    <row r="649" customHeight="1" spans="3:15">
      <c r="C649" s="12"/>
      <c r="D649" s="12"/>
      <c r="E649" s="26"/>
      <c r="F649" s="26"/>
      <c r="G649" s="26"/>
      <c r="H649" s="26"/>
      <c r="I649" s="26"/>
      <c r="J649" s="26"/>
      <c r="L649" s="45"/>
      <c r="M649" s="45"/>
      <c r="N649" s="137"/>
      <c r="O649" s="137"/>
    </row>
    <row r="650" customHeight="1" spans="3:15">
      <c r="C650" s="12"/>
      <c r="D650" s="12"/>
      <c r="E650" s="26"/>
      <c r="F650" s="26"/>
      <c r="G650" s="26"/>
      <c r="H650" s="26"/>
      <c r="I650" s="26"/>
      <c r="J650" s="26"/>
      <c r="L650" s="45"/>
      <c r="M650" s="45"/>
      <c r="N650" s="137"/>
      <c r="O650" s="137"/>
    </row>
    <row r="651" customHeight="1" spans="3:15">
      <c r="C651" s="12"/>
      <c r="D651" s="12"/>
      <c r="E651" s="26"/>
      <c r="F651" s="26"/>
      <c r="G651" s="26"/>
      <c r="H651" s="26"/>
      <c r="I651" s="26"/>
      <c r="J651" s="26"/>
      <c r="L651" s="45"/>
      <c r="M651" s="45"/>
      <c r="N651" s="137"/>
      <c r="O651" s="137"/>
    </row>
    <row r="652" customHeight="1" spans="3:15">
      <c r="C652" s="12"/>
      <c r="D652" s="12"/>
      <c r="E652" s="26"/>
      <c r="F652" s="26"/>
      <c r="G652" s="26"/>
      <c r="H652" s="26"/>
      <c r="I652" s="26"/>
      <c r="J652" s="26"/>
      <c r="L652" s="45"/>
      <c r="M652" s="45"/>
      <c r="N652" s="137"/>
      <c r="O652" s="137"/>
    </row>
    <row r="653" customHeight="1" spans="3:15">
      <c r="C653" s="12"/>
      <c r="D653" s="12"/>
      <c r="E653" s="26"/>
      <c r="F653" s="26"/>
      <c r="G653" s="26"/>
      <c r="H653" s="26"/>
      <c r="I653" s="26"/>
      <c r="J653" s="26"/>
      <c r="L653" s="45"/>
      <c r="M653" s="45"/>
      <c r="N653" s="137"/>
      <c r="O653" s="137"/>
    </row>
    <row r="654" customHeight="1" spans="3:15">
      <c r="C654" s="12"/>
      <c r="D654" s="12"/>
      <c r="E654" s="26"/>
      <c r="F654" s="26"/>
      <c r="G654" s="26"/>
      <c r="H654" s="26"/>
      <c r="I654" s="26"/>
      <c r="J654" s="26"/>
      <c r="L654" s="45"/>
      <c r="M654" s="45"/>
      <c r="N654" s="137"/>
      <c r="O654" s="137"/>
    </row>
    <row r="655" customHeight="1" spans="3:15">
      <c r="C655" s="12"/>
      <c r="D655" s="12"/>
      <c r="E655" s="26"/>
      <c r="F655" s="26"/>
      <c r="G655" s="26"/>
      <c r="H655" s="26"/>
      <c r="I655" s="26"/>
      <c r="J655" s="26"/>
      <c r="L655" s="45"/>
      <c r="M655" s="45"/>
      <c r="N655" s="137"/>
      <c r="O655" s="137"/>
    </row>
    <row r="656" customHeight="1" spans="3:15">
      <c r="C656" s="12"/>
      <c r="D656" s="12"/>
      <c r="E656" s="26"/>
      <c r="F656" s="26"/>
      <c r="G656" s="26"/>
      <c r="H656" s="26"/>
      <c r="I656" s="26"/>
      <c r="J656" s="26"/>
      <c r="L656" s="45"/>
      <c r="M656" s="45"/>
      <c r="N656" s="137"/>
      <c r="O656" s="137"/>
    </row>
    <row r="657" customHeight="1" spans="3:15">
      <c r="C657" s="12"/>
      <c r="D657" s="12"/>
      <c r="E657" s="26"/>
      <c r="F657" s="26"/>
      <c r="G657" s="26"/>
      <c r="H657" s="26"/>
      <c r="I657" s="26"/>
      <c r="J657" s="26"/>
      <c r="L657" s="45"/>
      <c r="M657" s="45"/>
      <c r="N657" s="137"/>
      <c r="O657" s="137"/>
    </row>
    <row r="658" customHeight="1" spans="3:15">
      <c r="C658" s="12"/>
      <c r="D658" s="12"/>
      <c r="E658" s="26"/>
      <c r="F658" s="26"/>
      <c r="G658" s="26"/>
      <c r="H658" s="26"/>
      <c r="I658" s="26"/>
      <c r="J658" s="26"/>
      <c r="L658" s="45"/>
      <c r="M658" s="45"/>
      <c r="N658" s="137"/>
      <c r="O658" s="137"/>
    </row>
    <row r="659" customHeight="1" spans="3:15">
      <c r="C659" s="12"/>
      <c r="D659" s="12"/>
      <c r="E659" s="26"/>
      <c r="F659" s="26"/>
      <c r="G659" s="26"/>
      <c r="H659" s="26"/>
      <c r="I659" s="26"/>
      <c r="J659" s="26"/>
      <c r="L659" s="45"/>
      <c r="M659" s="45"/>
      <c r="N659" s="137"/>
      <c r="O659" s="137"/>
    </row>
    <row r="660" customHeight="1" spans="3:15">
      <c r="C660" s="12"/>
      <c r="D660" s="12"/>
      <c r="E660" s="26"/>
      <c r="F660" s="26"/>
      <c r="G660" s="26"/>
      <c r="H660" s="26"/>
      <c r="I660" s="26"/>
      <c r="J660" s="26"/>
      <c r="L660" s="45"/>
      <c r="M660" s="45"/>
      <c r="N660" s="137"/>
      <c r="O660" s="137"/>
    </row>
    <row r="661" customHeight="1" spans="3:15">
      <c r="C661" s="12"/>
      <c r="D661" s="12"/>
      <c r="E661" s="26"/>
      <c r="F661" s="26"/>
      <c r="G661" s="26"/>
      <c r="H661" s="26"/>
      <c r="I661" s="26"/>
      <c r="J661" s="26"/>
      <c r="L661" s="45"/>
      <c r="M661" s="45"/>
      <c r="N661" s="137"/>
      <c r="O661" s="137"/>
    </row>
    <row r="662" customHeight="1" spans="3:15">
      <c r="C662" s="12"/>
      <c r="D662" s="12"/>
      <c r="E662" s="26"/>
      <c r="F662" s="26"/>
      <c r="G662" s="26"/>
      <c r="H662" s="26"/>
      <c r="I662" s="26"/>
      <c r="J662" s="26"/>
      <c r="L662" s="45"/>
      <c r="M662" s="45"/>
      <c r="N662" s="137"/>
      <c r="O662" s="137"/>
    </row>
    <row r="663" customHeight="1" spans="3:15">
      <c r="C663" s="12"/>
      <c r="D663" s="12"/>
      <c r="E663" s="26"/>
      <c r="F663" s="26"/>
      <c r="G663" s="26"/>
      <c r="H663" s="26"/>
      <c r="I663" s="26"/>
      <c r="J663" s="26"/>
      <c r="L663" s="45"/>
      <c r="M663" s="45"/>
      <c r="N663" s="137"/>
      <c r="O663" s="137"/>
    </row>
    <row r="664" customHeight="1" spans="3:15">
      <c r="C664" s="12"/>
      <c r="D664" s="12"/>
      <c r="E664" s="26"/>
      <c r="F664" s="26"/>
      <c r="G664" s="26"/>
      <c r="H664" s="26"/>
      <c r="I664" s="26"/>
      <c r="J664" s="26"/>
      <c r="L664" s="45"/>
      <c r="M664" s="45"/>
      <c r="N664" s="137"/>
      <c r="O664" s="137"/>
    </row>
    <row r="665" customHeight="1" spans="3:15">
      <c r="C665" s="12"/>
      <c r="D665" s="12"/>
      <c r="E665" s="26"/>
      <c r="F665" s="26"/>
      <c r="G665" s="26"/>
      <c r="H665" s="26"/>
      <c r="I665" s="26"/>
      <c r="J665" s="26"/>
      <c r="L665" s="45"/>
      <c r="M665" s="45"/>
      <c r="N665" s="137"/>
      <c r="O665" s="137"/>
    </row>
    <row r="666" customHeight="1" spans="3:15">
      <c r="C666" s="12"/>
      <c r="D666" s="12"/>
      <c r="E666" s="26"/>
      <c r="F666" s="26"/>
      <c r="G666" s="26"/>
      <c r="H666" s="26"/>
      <c r="I666" s="26"/>
      <c r="J666" s="26"/>
      <c r="L666" s="45"/>
      <c r="M666" s="45"/>
      <c r="N666" s="137"/>
      <c r="O666" s="137"/>
    </row>
    <row r="667" customHeight="1" spans="3:15">
      <c r="C667" s="12"/>
      <c r="D667" s="12"/>
      <c r="E667" s="26"/>
      <c r="F667" s="26"/>
      <c r="G667" s="26"/>
      <c r="H667" s="26"/>
      <c r="I667" s="26"/>
      <c r="J667" s="26"/>
      <c r="L667" s="45"/>
      <c r="M667" s="45"/>
      <c r="N667" s="137"/>
      <c r="O667" s="137"/>
    </row>
    <row r="668" customHeight="1" spans="3:15">
      <c r="C668" s="12"/>
      <c r="D668" s="12"/>
      <c r="E668" s="26"/>
      <c r="F668" s="26"/>
      <c r="G668" s="26"/>
      <c r="H668" s="26"/>
      <c r="I668" s="26"/>
      <c r="J668" s="26"/>
      <c r="L668" s="45"/>
      <c r="M668" s="45"/>
      <c r="N668" s="137"/>
      <c r="O668" s="137"/>
    </row>
    <row r="669" customHeight="1" spans="3:15">
      <c r="C669" s="12"/>
      <c r="D669" s="12"/>
      <c r="E669" s="26"/>
      <c r="F669" s="26"/>
      <c r="G669" s="26"/>
      <c r="H669" s="26"/>
      <c r="I669" s="26"/>
      <c r="J669" s="26"/>
      <c r="L669" s="45"/>
      <c r="M669" s="45"/>
      <c r="N669" s="137"/>
      <c r="O669" s="137"/>
    </row>
    <row r="670" customHeight="1" spans="3:15">
      <c r="C670" s="12"/>
      <c r="D670" s="12"/>
      <c r="E670" s="26"/>
      <c r="F670" s="26"/>
      <c r="G670" s="26"/>
      <c r="H670" s="26"/>
      <c r="I670" s="26"/>
      <c r="J670" s="26"/>
      <c r="L670" s="45"/>
      <c r="M670" s="45"/>
      <c r="N670" s="137"/>
      <c r="O670" s="137"/>
    </row>
    <row r="671" customHeight="1" spans="3:15">
      <c r="C671" s="12"/>
      <c r="D671" s="12"/>
      <c r="E671" s="26"/>
      <c r="F671" s="26"/>
      <c r="G671" s="26"/>
      <c r="H671" s="26"/>
      <c r="I671" s="26"/>
      <c r="J671" s="26"/>
      <c r="L671" s="45"/>
      <c r="M671" s="45"/>
      <c r="N671" s="137"/>
      <c r="O671" s="137"/>
    </row>
    <row r="672" customHeight="1" spans="3:15">
      <c r="C672" s="12"/>
      <c r="D672" s="12"/>
      <c r="E672" s="26"/>
      <c r="F672" s="26"/>
      <c r="G672" s="26"/>
      <c r="H672" s="26"/>
      <c r="I672" s="26"/>
      <c r="J672" s="26"/>
      <c r="L672" s="45"/>
      <c r="M672" s="45"/>
      <c r="N672" s="137"/>
      <c r="O672" s="137"/>
    </row>
    <row r="673" customHeight="1" spans="3:15">
      <c r="C673" s="12"/>
      <c r="D673" s="12"/>
      <c r="E673" s="26"/>
      <c r="F673" s="26"/>
      <c r="G673" s="26"/>
      <c r="H673" s="26"/>
      <c r="I673" s="26"/>
      <c r="J673" s="26"/>
      <c r="L673" s="45"/>
      <c r="M673" s="45"/>
      <c r="N673" s="137"/>
      <c r="O673" s="137"/>
    </row>
    <row r="674" customHeight="1" spans="3:15">
      <c r="C674" s="12"/>
      <c r="D674" s="12"/>
      <c r="E674" s="26"/>
      <c r="F674" s="26"/>
      <c r="G674" s="26"/>
      <c r="H674" s="26"/>
      <c r="I674" s="26"/>
      <c r="J674" s="26"/>
      <c r="L674" s="45"/>
      <c r="M674" s="45"/>
      <c r="N674" s="137"/>
      <c r="O674" s="137"/>
    </row>
    <row r="675" customHeight="1" spans="3:15">
      <c r="C675" s="12"/>
      <c r="D675" s="12"/>
      <c r="E675" s="26"/>
      <c r="F675" s="26"/>
      <c r="G675" s="26"/>
      <c r="H675" s="26"/>
      <c r="I675" s="26"/>
      <c r="J675" s="26"/>
      <c r="L675" s="45"/>
      <c r="M675" s="45"/>
      <c r="N675" s="137"/>
      <c r="O675" s="137"/>
    </row>
    <row r="676" customHeight="1" spans="3:15">
      <c r="C676" s="12"/>
      <c r="D676" s="12"/>
      <c r="E676" s="26"/>
      <c r="F676" s="26"/>
      <c r="G676" s="26"/>
      <c r="H676" s="26"/>
      <c r="I676" s="26"/>
      <c r="J676" s="26"/>
      <c r="L676" s="45"/>
      <c r="M676" s="45"/>
      <c r="N676" s="137"/>
      <c r="O676" s="137"/>
    </row>
    <row r="677" customHeight="1" spans="3:15">
      <c r="C677" s="12"/>
      <c r="D677" s="12"/>
      <c r="E677" s="26"/>
      <c r="F677" s="26"/>
      <c r="G677" s="26"/>
      <c r="H677" s="26"/>
      <c r="I677" s="26"/>
      <c r="J677" s="26"/>
      <c r="L677" s="45"/>
      <c r="M677" s="45"/>
      <c r="N677" s="137"/>
      <c r="O677" s="137"/>
    </row>
    <row r="678" customHeight="1" spans="3:15">
      <c r="C678" s="12"/>
      <c r="D678" s="12"/>
      <c r="E678" s="26"/>
      <c r="F678" s="26"/>
      <c r="G678" s="26"/>
      <c r="H678" s="26"/>
      <c r="I678" s="26"/>
      <c r="J678" s="26"/>
      <c r="L678" s="45"/>
      <c r="M678" s="45"/>
      <c r="N678" s="137"/>
      <c r="O678" s="137"/>
    </row>
    <row r="679" customHeight="1" spans="3:15">
      <c r="C679" s="12"/>
      <c r="D679" s="12"/>
      <c r="E679" s="26"/>
      <c r="F679" s="26"/>
      <c r="G679" s="26"/>
      <c r="H679" s="26"/>
      <c r="I679" s="26"/>
      <c r="J679" s="26"/>
      <c r="L679" s="45"/>
      <c r="M679" s="45"/>
      <c r="N679" s="137"/>
      <c r="O679" s="137"/>
    </row>
    <row r="680" customHeight="1" spans="3:15">
      <c r="C680" s="12"/>
      <c r="D680" s="12"/>
      <c r="E680" s="26"/>
      <c r="F680" s="26"/>
      <c r="G680" s="26"/>
      <c r="H680" s="26"/>
      <c r="I680" s="26"/>
      <c r="J680" s="26"/>
      <c r="L680" s="45"/>
      <c r="M680" s="45"/>
      <c r="N680" s="137"/>
      <c r="O680" s="137"/>
    </row>
    <row r="681" customHeight="1" spans="3:15">
      <c r="C681" s="12"/>
      <c r="D681" s="12"/>
      <c r="E681" s="26"/>
      <c r="F681" s="26"/>
      <c r="G681" s="26"/>
      <c r="H681" s="26"/>
      <c r="I681" s="26"/>
      <c r="J681" s="26"/>
      <c r="L681" s="45"/>
      <c r="M681" s="45"/>
      <c r="N681" s="137"/>
      <c r="O681" s="137"/>
    </row>
    <row r="682" customHeight="1" spans="3:15">
      <c r="C682" s="12"/>
      <c r="D682" s="12"/>
      <c r="E682" s="26"/>
      <c r="F682" s="26"/>
      <c r="G682" s="26"/>
      <c r="H682" s="26"/>
      <c r="I682" s="26"/>
      <c r="J682" s="26"/>
      <c r="L682" s="45"/>
      <c r="M682" s="45"/>
      <c r="N682" s="137"/>
      <c r="O682" s="137"/>
    </row>
    <row r="683" customHeight="1" spans="3:15">
      <c r="C683" s="12"/>
      <c r="D683" s="12"/>
      <c r="E683" s="26"/>
      <c r="F683" s="26"/>
      <c r="G683" s="26"/>
      <c r="H683" s="26"/>
      <c r="I683" s="26"/>
      <c r="J683" s="26"/>
      <c r="L683" s="45"/>
      <c r="M683" s="45"/>
      <c r="N683" s="137"/>
      <c r="O683" s="137"/>
    </row>
    <row r="684" customHeight="1" spans="3:15">
      <c r="C684" s="12"/>
      <c r="D684" s="12"/>
      <c r="E684" s="26"/>
      <c r="F684" s="26"/>
      <c r="G684" s="26"/>
      <c r="H684" s="26"/>
      <c r="I684" s="26"/>
      <c r="J684" s="26"/>
      <c r="L684" s="45"/>
      <c r="M684" s="45"/>
      <c r="N684" s="137"/>
      <c r="O684" s="137"/>
    </row>
    <row r="685" customHeight="1" spans="3:15">
      <c r="C685" s="12"/>
      <c r="D685" s="12"/>
      <c r="E685" s="26"/>
      <c r="F685" s="26"/>
      <c r="G685" s="26"/>
      <c r="H685" s="26"/>
      <c r="I685" s="26"/>
      <c r="J685" s="26"/>
      <c r="L685" s="45"/>
      <c r="M685" s="45"/>
      <c r="N685" s="137"/>
      <c r="O685" s="137"/>
    </row>
    <row r="686" customHeight="1" spans="3:15">
      <c r="C686" s="12"/>
      <c r="D686" s="12"/>
      <c r="E686" s="26"/>
      <c r="F686" s="26"/>
      <c r="G686" s="26"/>
      <c r="H686" s="26"/>
      <c r="I686" s="26"/>
      <c r="J686" s="26"/>
      <c r="L686" s="45"/>
      <c r="M686" s="45"/>
      <c r="N686" s="137"/>
      <c r="O686" s="137"/>
    </row>
    <row r="687" customHeight="1" spans="3:15">
      <c r="C687" s="12"/>
      <c r="D687" s="12"/>
      <c r="E687" s="26"/>
      <c r="F687" s="26"/>
      <c r="G687" s="26"/>
      <c r="H687" s="26"/>
      <c r="I687" s="26"/>
      <c r="J687" s="26"/>
      <c r="L687" s="45"/>
      <c r="M687" s="45"/>
      <c r="N687" s="137"/>
      <c r="O687" s="137"/>
    </row>
    <row r="688" customHeight="1" spans="3:15">
      <c r="C688" s="12"/>
      <c r="D688" s="12"/>
      <c r="E688" s="26"/>
      <c r="F688" s="26"/>
      <c r="G688" s="26"/>
      <c r="H688" s="26"/>
      <c r="I688" s="26"/>
      <c r="J688" s="26"/>
      <c r="L688" s="45"/>
      <c r="M688" s="45"/>
      <c r="N688" s="137"/>
      <c r="O688" s="137"/>
    </row>
    <row r="689" customHeight="1" spans="3:15">
      <c r="C689" s="12"/>
      <c r="D689" s="12"/>
      <c r="E689" s="26"/>
      <c r="F689" s="26"/>
      <c r="G689" s="26"/>
      <c r="H689" s="26"/>
      <c r="I689" s="26"/>
      <c r="J689" s="26"/>
      <c r="L689" s="45"/>
      <c r="M689" s="45"/>
      <c r="N689" s="137"/>
      <c r="O689" s="137"/>
    </row>
    <row r="690" customHeight="1" spans="3:15">
      <c r="C690" s="12"/>
      <c r="D690" s="12"/>
      <c r="E690" s="26"/>
      <c r="F690" s="26"/>
      <c r="G690" s="26"/>
      <c r="H690" s="26"/>
      <c r="I690" s="26"/>
      <c r="J690" s="26"/>
      <c r="L690" s="45"/>
      <c r="M690" s="45"/>
      <c r="N690" s="137"/>
      <c r="O690" s="137"/>
    </row>
    <row r="691" customHeight="1" spans="3:15">
      <c r="C691" s="12"/>
      <c r="D691" s="12"/>
      <c r="E691" s="26"/>
      <c r="F691" s="26"/>
      <c r="G691" s="26"/>
      <c r="H691" s="26"/>
      <c r="I691" s="26"/>
      <c r="J691" s="26"/>
      <c r="L691" s="45"/>
      <c r="M691" s="45"/>
      <c r="N691" s="137"/>
      <c r="O691" s="137"/>
    </row>
    <row r="692" customHeight="1" spans="3:15">
      <c r="C692" s="12"/>
      <c r="D692" s="12"/>
      <c r="E692" s="26"/>
      <c r="F692" s="26"/>
      <c r="G692" s="26"/>
      <c r="H692" s="26"/>
      <c r="I692" s="26"/>
      <c r="J692" s="26"/>
      <c r="L692" s="45"/>
      <c r="M692" s="45"/>
      <c r="N692" s="137"/>
      <c r="O692" s="137"/>
    </row>
    <row r="693" customHeight="1" spans="3:15">
      <c r="C693" s="12"/>
      <c r="D693" s="12"/>
      <c r="E693" s="26"/>
      <c r="F693" s="26"/>
      <c r="G693" s="26"/>
      <c r="H693" s="26"/>
      <c r="I693" s="26"/>
      <c r="J693" s="26"/>
      <c r="L693" s="45"/>
      <c r="M693" s="45"/>
      <c r="N693" s="137"/>
      <c r="O693" s="137"/>
    </row>
    <row r="694" customHeight="1" spans="3:15">
      <c r="C694" s="12"/>
      <c r="D694" s="12"/>
      <c r="E694" s="26"/>
      <c r="F694" s="26"/>
      <c r="G694" s="26"/>
      <c r="H694" s="26"/>
      <c r="I694" s="26"/>
      <c r="J694" s="26"/>
      <c r="L694" s="45"/>
      <c r="M694" s="45"/>
      <c r="N694" s="137"/>
      <c r="O694" s="137"/>
    </row>
    <row r="695" customHeight="1" spans="3:15">
      <c r="C695" s="12"/>
      <c r="D695" s="12"/>
      <c r="E695" s="26"/>
      <c r="F695" s="26"/>
      <c r="G695" s="26"/>
      <c r="H695" s="26"/>
      <c r="I695" s="26"/>
      <c r="J695" s="26"/>
      <c r="L695" s="45"/>
      <c r="M695" s="45"/>
      <c r="N695" s="137"/>
      <c r="O695" s="137"/>
    </row>
    <row r="696" customHeight="1" spans="3:15">
      <c r="C696" s="12"/>
      <c r="D696" s="12"/>
      <c r="E696" s="26"/>
      <c r="F696" s="26"/>
      <c r="G696" s="26"/>
      <c r="H696" s="26"/>
      <c r="I696" s="26"/>
      <c r="J696" s="26"/>
      <c r="L696" s="45"/>
      <c r="M696" s="45"/>
      <c r="N696" s="137"/>
      <c r="O696" s="137"/>
    </row>
    <row r="697" customHeight="1" spans="3:15">
      <c r="C697" s="12"/>
      <c r="D697" s="12"/>
      <c r="E697" s="26"/>
      <c r="F697" s="26"/>
      <c r="G697" s="26"/>
      <c r="H697" s="26"/>
      <c r="I697" s="26"/>
      <c r="J697" s="26"/>
      <c r="L697" s="45"/>
      <c r="M697" s="45"/>
      <c r="N697" s="137"/>
      <c r="O697" s="137"/>
    </row>
    <row r="698" customHeight="1" spans="3:15">
      <c r="C698" s="12"/>
      <c r="D698" s="12"/>
      <c r="E698" s="26"/>
      <c r="F698" s="26"/>
      <c r="G698" s="26"/>
      <c r="H698" s="26"/>
      <c r="I698" s="26"/>
      <c r="J698" s="26"/>
      <c r="L698" s="45"/>
      <c r="M698" s="45"/>
      <c r="N698" s="137"/>
      <c r="O698" s="137"/>
    </row>
    <row r="699" customHeight="1" spans="3:15">
      <c r="C699" s="12"/>
      <c r="D699" s="12"/>
      <c r="E699" s="26"/>
      <c r="F699" s="26"/>
      <c r="G699" s="26"/>
      <c r="H699" s="26"/>
      <c r="I699" s="26"/>
      <c r="J699" s="26"/>
      <c r="L699" s="45"/>
      <c r="M699" s="45"/>
      <c r="N699" s="137"/>
      <c r="O699" s="137"/>
    </row>
    <row r="700" customHeight="1" spans="3:15">
      <c r="C700" s="12"/>
      <c r="D700" s="12"/>
      <c r="E700" s="26"/>
      <c r="F700" s="26"/>
      <c r="G700" s="26"/>
      <c r="H700" s="26"/>
      <c r="I700" s="26"/>
      <c r="J700" s="26"/>
      <c r="L700" s="45"/>
      <c r="M700" s="45"/>
      <c r="N700" s="137"/>
      <c r="O700" s="137"/>
    </row>
    <row r="701" customHeight="1" spans="3:15">
      <c r="C701" s="12"/>
      <c r="D701" s="12"/>
      <c r="E701" s="26"/>
      <c r="F701" s="26"/>
      <c r="G701" s="26"/>
      <c r="H701" s="26"/>
      <c r="I701" s="26"/>
      <c r="J701" s="26"/>
      <c r="L701" s="45"/>
      <c r="M701" s="45"/>
      <c r="N701" s="137"/>
      <c r="O701" s="137"/>
    </row>
    <row r="702" customHeight="1" spans="3:15">
      <c r="C702" s="12"/>
      <c r="D702" s="12"/>
      <c r="E702" s="26"/>
      <c r="F702" s="26"/>
      <c r="G702" s="26"/>
      <c r="H702" s="26"/>
      <c r="I702" s="26"/>
      <c r="J702" s="26"/>
      <c r="L702" s="45"/>
      <c r="M702" s="45"/>
      <c r="N702" s="137"/>
      <c r="O702" s="137"/>
    </row>
    <row r="703" customHeight="1" spans="3:15">
      <c r="C703" s="12"/>
      <c r="D703" s="12"/>
      <c r="E703" s="26"/>
      <c r="F703" s="26"/>
      <c r="G703" s="26"/>
      <c r="H703" s="26"/>
      <c r="I703" s="26"/>
      <c r="J703" s="26"/>
      <c r="L703" s="45"/>
      <c r="M703" s="45"/>
      <c r="N703" s="137"/>
      <c r="O703" s="137"/>
    </row>
    <row r="704" customHeight="1" spans="3:15">
      <c r="C704" s="12"/>
      <c r="D704" s="12"/>
      <c r="E704" s="26"/>
      <c r="F704" s="26"/>
      <c r="G704" s="26"/>
      <c r="H704" s="26"/>
      <c r="I704" s="26"/>
      <c r="J704" s="26"/>
      <c r="L704" s="45"/>
      <c r="M704" s="45"/>
      <c r="N704" s="137"/>
      <c r="O704" s="137"/>
    </row>
    <row r="705" customHeight="1" spans="3:15">
      <c r="C705" s="12"/>
      <c r="D705" s="12"/>
      <c r="E705" s="26"/>
      <c r="F705" s="26"/>
      <c r="G705" s="26"/>
      <c r="H705" s="26"/>
      <c r="I705" s="26"/>
      <c r="J705" s="26"/>
      <c r="L705" s="45"/>
      <c r="M705" s="45"/>
      <c r="N705" s="137"/>
      <c r="O705" s="137"/>
    </row>
    <row r="706" customHeight="1" spans="3:15">
      <c r="C706" s="12"/>
      <c r="D706" s="12"/>
      <c r="E706" s="26"/>
      <c r="F706" s="26"/>
      <c r="G706" s="26"/>
      <c r="H706" s="26"/>
      <c r="I706" s="26"/>
      <c r="J706" s="26"/>
      <c r="L706" s="45"/>
      <c r="M706" s="45"/>
      <c r="N706" s="137"/>
      <c r="O706" s="137"/>
    </row>
    <row r="707" customHeight="1" spans="3:15">
      <c r="C707" s="12"/>
      <c r="D707" s="12"/>
      <c r="E707" s="26"/>
      <c r="F707" s="26"/>
      <c r="G707" s="26"/>
      <c r="H707" s="26"/>
      <c r="I707" s="26"/>
      <c r="J707" s="26"/>
      <c r="L707" s="45"/>
      <c r="M707" s="45"/>
      <c r="N707" s="137"/>
      <c r="O707" s="137"/>
    </row>
    <row r="708" customHeight="1" spans="3:15">
      <c r="C708" s="12"/>
      <c r="D708" s="12"/>
      <c r="E708" s="26"/>
      <c r="F708" s="26"/>
      <c r="G708" s="26"/>
      <c r="H708" s="26"/>
      <c r="I708" s="26"/>
      <c r="J708" s="26"/>
      <c r="L708" s="45"/>
      <c r="M708" s="45"/>
      <c r="N708" s="137"/>
      <c r="O708" s="137"/>
    </row>
    <row r="709" customHeight="1" spans="3:15">
      <c r="C709" s="12"/>
      <c r="D709" s="12"/>
      <c r="E709" s="26"/>
      <c r="F709" s="26"/>
      <c r="G709" s="26"/>
      <c r="H709" s="26"/>
      <c r="I709" s="26"/>
      <c r="J709" s="26"/>
      <c r="L709" s="45"/>
      <c r="M709" s="45"/>
      <c r="N709" s="137"/>
      <c r="O709" s="137"/>
    </row>
    <row r="710" customHeight="1" spans="3:15">
      <c r="C710" s="12"/>
      <c r="D710" s="12"/>
      <c r="E710" s="26"/>
      <c r="F710" s="26"/>
      <c r="G710" s="26"/>
      <c r="H710" s="26"/>
      <c r="I710" s="26"/>
      <c r="J710" s="26"/>
      <c r="L710" s="45"/>
      <c r="M710" s="45"/>
      <c r="N710" s="137"/>
      <c r="O710" s="137"/>
    </row>
    <row r="711" customHeight="1" spans="3:15">
      <c r="C711" s="12"/>
      <c r="D711" s="12"/>
      <c r="E711" s="26"/>
      <c r="F711" s="26"/>
      <c r="G711" s="26"/>
      <c r="H711" s="26"/>
      <c r="I711" s="26"/>
      <c r="J711" s="26"/>
      <c r="L711" s="45"/>
      <c r="M711" s="45"/>
      <c r="N711" s="137"/>
      <c r="O711" s="137"/>
    </row>
    <row r="712" customHeight="1" spans="3:15">
      <c r="C712" s="12"/>
      <c r="D712" s="12"/>
      <c r="E712" s="26"/>
      <c r="F712" s="26"/>
      <c r="G712" s="26"/>
      <c r="H712" s="26"/>
      <c r="I712" s="26"/>
      <c r="J712" s="26"/>
      <c r="L712" s="45"/>
      <c r="M712" s="45"/>
      <c r="N712" s="137"/>
      <c r="O712" s="137"/>
    </row>
    <row r="713" customHeight="1" spans="3:15">
      <c r="C713" s="12"/>
      <c r="D713" s="12"/>
      <c r="E713" s="26"/>
      <c r="F713" s="26"/>
      <c r="G713" s="26"/>
      <c r="H713" s="26"/>
      <c r="I713" s="26"/>
      <c r="J713" s="26"/>
      <c r="L713" s="45"/>
      <c r="M713" s="45"/>
      <c r="N713" s="137"/>
      <c r="O713" s="137"/>
    </row>
    <row r="714" customHeight="1" spans="3:15">
      <c r="C714" s="12"/>
      <c r="D714" s="12"/>
      <c r="E714" s="26"/>
      <c r="F714" s="26"/>
      <c r="G714" s="26"/>
      <c r="H714" s="26"/>
      <c r="I714" s="26"/>
      <c r="J714" s="26"/>
      <c r="L714" s="45"/>
      <c r="M714" s="45"/>
      <c r="N714" s="137"/>
      <c r="O714" s="137"/>
    </row>
    <row r="715" customHeight="1" spans="3:15">
      <c r="C715" s="12"/>
      <c r="D715" s="12"/>
      <c r="E715" s="26"/>
      <c r="F715" s="26"/>
      <c r="G715" s="26"/>
      <c r="H715" s="26"/>
      <c r="I715" s="26"/>
      <c r="J715" s="26"/>
      <c r="L715" s="45"/>
      <c r="M715" s="45"/>
      <c r="N715" s="137"/>
      <c r="O715" s="137"/>
    </row>
    <row r="716" customHeight="1" spans="3:15">
      <c r="C716" s="12"/>
      <c r="D716" s="12"/>
      <c r="E716" s="26"/>
      <c r="F716" s="26"/>
      <c r="G716" s="26"/>
      <c r="H716" s="26"/>
      <c r="I716" s="26"/>
      <c r="J716" s="26"/>
      <c r="L716" s="45"/>
      <c r="M716" s="45"/>
      <c r="N716" s="137"/>
      <c r="O716" s="137"/>
    </row>
    <row r="717" customHeight="1" spans="3:15">
      <c r="C717" s="12"/>
      <c r="D717" s="12"/>
      <c r="E717" s="26"/>
      <c r="F717" s="26"/>
      <c r="G717" s="26"/>
      <c r="H717" s="26"/>
      <c r="I717" s="26"/>
      <c r="J717" s="26"/>
      <c r="L717" s="45"/>
      <c r="M717" s="45"/>
      <c r="N717" s="137"/>
      <c r="O717" s="137"/>
    </row>
    <row r="718" customHeight="1" spans="3:15">
      <c r="C718" s="12"/>
      <c r="D718" s="12"/>
      <c r="E718" s="26"/>
      <c r="F718" s="26"/>
      <c r="G718" s="26"/>
      <c r="H718" s="26"/>
      <c r="I718" s="26"/>
      <c r="J718" s="26"/>
      <c r="L718" s="45"/>
      <c r="M718" s="45"/>
      <c r="N718" s="137"/>
      <c r="O718" s="137"/>
    </row>
    <row r="719" customHeight="1" spans="3:15">
      <c r="C719" s="12"/>
      <c r="D719" s="12"/>
      <c r="E719" s="26"/>
      <c r="F719" s="26"/>
      <c r="G719" s="26"/>
      <c r="H719" s="26"/>
      <c r="I719" s="26"/>
      <c r="J719" s="26"/>
      <c r="L719" s="45"/>
      <c r="M719" s="45"/>
      <c r="N719" s="137"/>
      <c r="O719" s="137"/>
    </row>
    <row r="720" customHeight="1" spans="3:15">
      <c r="C720" s="12"/>
      <c r="D720" s="12"/>
      <c r="E720" s="26"/>
      <c r="F720" s="26"/>
      <c r="G720" s="26"/>
      <c r="H720" s="26"/>
      <c r="I720" s="26"/>
      <c r="J720" s="26"/>
      <c r="L720" s="45"/>
      <c r="M720" s="45"/>
      <c r="N720" s="137"/>
      <c r="O720" s="137"/>
    </row>
    <row r="721" customHeight="1" spans="3:15">
      <c r="C721" s="12"/>
      <c r="D721" s="12"/>
      <c r="E721" s="26"/>
      <c r="F721" s="26"/>
      <c r="G721" s="26"/>
      <c r="H721" s="26"/>
      <c r="I721" s="26"/>
      <c r="J721" s="26"/>
      <c r="L721" s="45"/>
      <c r="M721" s="45"/>
      <c r="N721" s="137"/>
      <c r="O721" s="137"/>
    </row>
    <row r="722" customHeight="1" spans="3:15">
      <c r="C722" s="12"/>
      <c r="D722" s="12"/>
      <c r="E722" s="26"/>
      <c r="F722" s="26"/>
      <c r="G722" s="26"/>
      <c r="H722" s="26"/>
      <c r="I722" s="26"/>
      <c r="J722" s="26"/>
      <c r="L722" s="45"/>
      <c r="M722" s="45"/>
      <c r="N722" s="137"/>
      <c r="O722" s="137"/>
    </row>
    <row r="723" customHeight="1" spans="3:15">
      <c r="C723" s="12"/>
      <c r="D723" s="12"/>
      <c r="E723" s="26"/>
      <c r="F723" s="26"/>
      <c r="G723" s="26"/>
      <c r="H723" s="26"/>
      <c r="I723" s="26"/>
      <c r="J723" s="26"/>
      <c r="L723" s="45"/>
      <c r="M723" s="45"/>
      <c r="N723" s="137"/>
      <c r="O723" s="137"/>
    </row>
    <row r="724" customHeight="1" spans="3:15">
      <c r="C724" s="12"/>
      <c r="D724" s="12"/>
      <c r="E724" s="26"/>
      <c r="F724" s="26"/>
      <c r="G724" s="26"/>
      <c r="H724" s="26"/>
      <c r="I724" s="26"/>
      <c r="J724" s="26"/>
      <c r="L724" s="45"/>
      <c r="M724" s="45"/>
      <c r="N724" s="137"/>
      <c r="O724" s="137"/>
    </row>
    <row r="725" customHeight="1" spans="3:15">
      <c r="C725" s="12"/>
      <c r="D725" s="12"/>
      <c r="E725" s="26"/>
      <c r="F725" s="26"/>
      <c r="G725" s="26"/>
      <c r="H725" s="26"/>
      <c r="I725" s="26"/>
      <c r="J725" s="26"/>
      <c r="L725" s="45"/>
      <c r="M725" s="45"/>
      <c r="N725" s="137"/>
      <c r="O725" s="137"/>
    </row>
    <row r="726" customHeight="1" spans="3:15">
      <c r="C726" s="12"/>
      <c r="D726" s="12"/>
      <c r="E726" s="26"/>
      <c r="F726" s="26"/>
      <c r="G726" s="26"/>
      <c r="H726" s="26"/>
      <c r="I726" s="26"/>
      <c r="J726" s="26"/>
      <c r="L726" s="45"/>
      <c r="M726" s="45"/>
      <c r="N726" s="137"/>
      <c r="O726" s="137"/>
    </row>
    <row r="727" customHeight="1" spans="3:15">
      <c r="C727" s="12"/>
      <c r="D727" s="12"/>
      <c r="E727" s="26"/>
      <c r="F727" s="26"/>
      <c r="G727" s="26"/>
      <c r="H727" s="26"/>
      <c r="I727" s="26"/>
      <c r="J727" s="26"/>
      <c r="L727" s="45"/>
      <c r="M727" s="45"/>
      <c r="N727" s="137"/>
      <c r="O727" s="137"/>
    </row>
    <row r="728" customHeight="1" spans="3:15">
      <c r="C728" s="12"/>
      <c r="D728" s="12"/>
      <c r="E728" s="26"/>
      <c r="F728" s="26"/>
      <c r="G728" s="26"/>
      <c r="H728" s="26"/>
      <c r="I728" s="26"/>
      <c r="J728" s="26"/>
      <c r="L728" s="45"/>
      <c r="M728" s="45"/>
      <c r="N728" s="137"/>
      <c r="O728" s="137"/>
    </row>
    <row r="729" customHeight="1" spans="3:15">
      <c r="C729" s="12"/>
      <c r="D729" s="12"/>
      <c r="E729" s="26"/>
      <c r="F729" s="26"/>
      <c r="G729" s="26"/>
      <c r="H729" s="26"/>
      <c r="I729" s="26"/>
      <c r="J729" s="26"/>
      <c r="L729" s="45"/>
      <c r="M729" s="45"/>
      <c r="N729" s="137"/>
      <c r="O729" s="137"/>
    </row>
    <row r="730" customHeight="1" spans="3:15">
      <c r="C730" s="12"/>
      <c r="D730" s="12"/>
      <c r="E730" s="26"/>
      <c r="F730" s="26"/>
      <c r="G730" s="26"/>
      <c r="H730" s="26"/>
      <c r="I730" s="26"/>
      <c r="J730" s="26"/>
      <c r="L730" s="45"/>
      <c r="M730" s="45"/>
      <c r="N730" s="137"/>
      <c r="O730" s="137"/>
    </row>
    <row r="731" customHeight="1" spans="3:15">
      <c r="C731" s="12"/>
      <c r="D731" s="12"/>
      <c r="E731" s="26"/>
      <c r="F731" s="26"/>
      <c r="G731" s="26"/>
      <c r="H731" s="26"/>
      <c r="I731" s="26"/>
      <c r="J731" s="26"/>
      <c r="L731" s="45"/>
      <c r="M731" s="45"/>
      <c r="N731" s="137"/>
      <c r="O731" s="137"/>
    </row>
    <row r="732" customHeight="1" spans="3:15">
      <c r="C732" s="12"/>
      <c r="D732" s="12"/>
      <c r="E732" s="26"/>
      <c r="F732" s="26"/>
      <c r="G732" s="26"/>
      <c r="H732" s="26"/>
      <c r="I732" s="26"/>
      <c r="J732" s="26"/>
      <c r="L732" s="45"/>
      <c r="M732" s="45"/>
      <c r="N732" s="137"/>
      <c r="O732" s="137"/>
    </row>
    <row r="733" customHeight="1" spans="3:15">
      <c r="C733" s="12"/>
      <c r="D733" s="12"/>
      <c r="E733" s="26"/>
      <c r="F733" s="26"/>
      <c r="G733" s="26"/>
      <c r="H733" s="26"/>
      <c r="I733" s="26"/>
      <c r="J733" s="26"/>
      <c r="L733" s="45"/>
      <c r="M733" s="45"/>
      <c r="N733" s="137"/>
      <c r="O733" s="137"/>
    </row>
    <row r="734" customHeight="1" spans="3:15">
      <c r="C734" s="12"/>
      <c r="D734" s="12"/>
      <c r="E734" s="26"/>
      <c r="F734" s="26"/>
      <c r="G734" s="26"/>
      <c r="H734" s="26"/>
      <c r="I734" s="26"/>
      <c r="J734" s="26"/>
      <c r="L734" s="45"/>
      <c r="M734" s="45"/>
      <c r="N734" s="137"/>
      <c r="O734" s="137"/>
    </row>
    <row r="735" customHeight="1" spans="3:15">
      <c r="C735" s="12"/>
      <c r="D735" s="12"/>
      <c r="E735" s="26"/>
      <c r="F735" s="26"/>
      <c r="G735" s="26"/>
      <c r="H735" s="26"/>
      <c r="I735" s="26"/>
      <c r="J735" s="26"/>
      <c r="L735" s="45"/>
      <c r="M735" s="45"/>
      <c r="N735" s="137"/>
      <c r="O735" s="137"/>
    </row>
    <row r="736" customHeight="1" spans="3:15">
      <c r="C736" s="12"/>
      <c r="D736" s="12"/>
      <c r="E736" s="26"/>
      <c r="F736" s="26"/>
      <c r="G736" s="26"/>
      <c r="H736" s="26"/>
      <c r="I736" s="26"/>
      <c r="J736" s="26"/>
      <c r="L736" s="45"/>
      <c r="M736" s="45"/>
      <c r="N736" s="137"/>
      <c r="O736" s="137"/>
    </row>
    <row r="737" customHeight="1" spans="3:15">
      <c r="C737" s="12"/>
      <c r="D737" s="12"/>
      <c r="E737" s="26"/>
      <c r="F737" s="26"/>
      <c r="G737" s="26"/>
      <c r="H737" s="26"/>
      <c r="I737" s="26"/>
      <c r="J737" s="26"/>
      <c r="L737" s="45"/>
      <c r="M737" s="45"/>
      <c r="N737" s="137"/>
      <c r="O737" s="137"/>
    </row>
    <row r="738" customHeight="1" spans="3:15">
      <c r="C738" s="12"/>
      <c r="D738" s="12"/>
      <c r="E738" s="26"/>
      <c r="F738" s="26"/>
      <c r="G738" s="26"/>
      <c r="H738" s="26"/>
      <c r="I738" s="26"/>
      <c r="J738" s="26"/>
      <c r="L738" s="45"/>
      <c r="M738" s="45"/>
      <c r="N738" s="137"/>
      <c r="O738" s="137"/>
    </row>
    <row r="739" customHeight="1" spans="3:15">
      <c r="C739" s="12"/>
      <c r="D739" s="12"/>
      <c r="E739" s="26"/>
      <c r="F739" s="26"/>
      <c r="G739" s="26"/>
      <c r="H739" s="26"/>
      <c r="I739" s="26"/>
      <c r="J739" s="26"/>
      <c r="L739" s="45"/>
      <c r="M739" s="45"/>
      <c r="N739" s="137"/>
      <c r="O739" s="137"/>
    </row>
    <row r="740" customHeight="1" spans="3:15">
      <c r="C740" s="12"/>
      <c r="D740" s="12"/>
      <c r="E740" s="26"/>
      <c r="F740" s="26"/>
      <c r="G740" s="26"/>
      <c r="H740" s="26"/>
      <c r="I740" s="26"/>
      <c r="J740" s="26"/>
      <c r="L740" s="45"/>
      <c r="M740" s="45"/>
      <c r="N740" s="137"/>
      <c r="O740" s="137"/>
    </row>
    <row r="741" customHeight="1" spans="3:15">
      <c r="C741" s="12"/>
      <c r="D741" s="12"/>
      <c r="E741" s="26"/>
      <c r="F741" s="26"/>
      <c r="G741" s="26"/>
      <c r="H741" s="26"/>
      <c r="I741" s="26"/>
      <c r="J741" s="26"/>
      <c r="L741" s="45"/>
      <c r="M741" s="45"/>
      <c r="N741" s="137"/>
      <c r="O741" s="137"/>
    </row>
    <row r="742" customHeight="1" spans="3:15">
      <c r="C742" s="12"/>
      <c r="D742" s="12"/>
      <c r="E742" s="26"/>
      <c r="F742" s="26"/>
      <c r="G742" s="26"/>
      <c r="H742" s="26"/>
      <c r="I742" s="26"/>
      <c r="J742" s="26"/>
      <c r="L742" s="45"/>
      <c r="M742" s="45"/>
      <c r="N742" s="137"/>
      <c r="O742" s="137"/>
    </row>
    <row r="743" customHeight="1" spans="3:15">
      <c r="C743" s="12"/>
      <c r="D743" s="12"/>
      <c r="E743" s="26"/>
      <c r="F743" s="26"/>
      <c r="G743" s="26"/>
      <c r="H743" s="26"/>
      <c r="I743" s="26"/>
      <c r="J743" s="26"/>
      <c r="L743" s="45"/>
      <c r="M743" s="45"/>
      <c r="N743" s="137"/>
      <c r="O743" s="137"/>
    </row>
    <row r="744" customHeight="1" spans="3:15">
      <c r="C744" s="12"/>
      <c r="D744" s="12"/>
      <c r="E744" s="26"/>
      <c r="F744" s="26"/>
      <c r="G744" s="26"/>
      <c r="H744" s="26"/>
      <c r="I744" s="26"/>
      <c r="J744" s="26"/>
      <c r="L744" s="45"/>
      <c r="M744" s="45"/>
      <c r="N744" s="137"/>
      <c r="O744" s="137"/>
    </row>
    <row r="745" customHeight="1" spans="3:15">
      <c r="C745" s="12"/>
      <c r="D745" s="12"/>
      <c r="E745" s="26"/>
      <c r="F745" s="26"/>
      <c r="G745" s="26"/>
      <c r="H745" s="26"/>
      <c r="I745" s="26"/>
      <c r="J745" s="26"/>
      <c r="L745" s="45"/>
      <c r="M745" s="45"/>
      <c r="N745" s="137"/>
      <c r="O745" s="137"/>
    </row>
    <row r="746" customHeight="1" spans="3:15">
      <c r="C746" s="12"/>
      <c r="D746" s="12"/>
      <c r="E746" s="26"/>
      <c r="F746" s="26"/>
      <c r="G746" s="26"/>
      <c r="H746" s="26"/>
      <c r="I746" s="26"/>
      <c r="J746" s="26"/>
      <c r="L746" s="45"/>
      <c r="M746" s="45"/>
      <c r="N746" s="137"/>
      <c r="O746" s="137"/>
    </row>
    <row r="747" customHeight="1" spans="3:15">
      <c r="C747" s="12"/>
      <c r="D747" s="12"/>
      <c r="E747" s="26"/>
      <c r="F747" s="26"/>
      <c r="G747" s="26"/>
      <c r="H747" s="26"/>
      <c r="I747" s="26"/>
      <c r="J747" s="26"/>
      <c r="L747" s="45"/>
      <c r="M747" s="45"/>
      <c r="N747" s="137"/>
      <c r="O747" s="137"/>
    </row>
    <row r="748" customHeight="1" spans="3:15">
      <c r="C748" s="12"/>
      <c r="D748" s="12"/>
      <c r="E748" s="26"/>
      <c r="F748" s="26"/>
      <c r="G748" s="26"/>
      <c r="H748" s="26"/>
      <c r="I748" s="26"/>
      <c r="J748" s="26"/>
      <c r="L748" s="45"/>
      <c r="M748" s="45"/>
      <c r="N748" s="137"/>
      <c r="O748" s="137"/>
    </row>
    <row r="749" customHeight="1" spans="3:15">
      <c r="C749" s="12"/>
      <c r="D749" s="12"/>
      <c r="E749" s="26"/>
      <c r="F749" s="26"/>
      <c r="G749" s="26"/>
      <c r="H749" s="26"/>
      <c r="I749" s="26"/>
      <c r="J749" s="26"/>
      <c r="L749" s="45"/>
      <c r="M749" s="45"/>
      <c r="N749" s="137"/>
      <c r="O749" s="137"/>
    </row>
    <row r="750" customHeight="1" spans="3:15">
      <c r="C750" s="12"/>
      <c r="D750" s="12"/>
      <c r="E750" s="26"/>
      <c r="F750" s="26"/>
      <c r="G750" s="26"/>
      <c r="H750" s="26"/>
      <c r="I750" s="26"/>
      <c r="J750" s="26"/>
      <c r="L750" s="45"/>
      <c r="M750" s="45"/>
      <c r="N750" s="137"/>
      <c r="O750" s="137"/>
    </row>
    <row r="751" customHeight="1" spans="3:15">
      <c r="C751" s="12"/>
      <c r="D751" s="12"/>
      <c r="E751" s="26"/>
      <c r="F751" s="26"/>
      <c r="G751" s="26"/>
      <c r="H751" s="26"/>
      <c r="I751" s="26"/>
      <c r="J751" s="26"/>
      <c r="L751" s="45"/>
      <c r="M751" s="45"/>
      <c r="N751" s="137"/>
      <c r="O751" s="137"/>
    </row>
    <row r="752" customHeight="1" spans="3:15">
      <c r="C752" s="12"/>
      <c r="D752" s="12"/>
      <c r="E752" s="26"/>
      <c r="F752" s="26"/>
      <c r="G752" s="26"/>
      <c r="H752" s="26"/>
      <c r="I752" s="26"/>
      <c r="J752" s="26"/>
      <c r="L752" s="45"/>
      <c r="M752" s="45"/>
      <c r="N752" s="137"/>
      <c r="O752" s="137"/>
    </row>
    <row r="753" customHeight="1" spans="3:15">
      <c r="C753" s="12"/>
      <c r="D753" s="12"/>
      <c r="E753" s="26"/>
      <c r="F753" s="26"/>
      <c r="G753" s="26"/>
      <c r="H753" s="26"/>
      <c r="I753" s="26"/>
      <c r="J753" s="26"/>
      <c r="L753" s="45"/>
      <c r="M753" s="45"/>
      <c r="N753" s="137"/>
      <c r="O753" s="137"/>
    </row>
    <row r="754" customHeight="1" spans="3:15">
      <c r="C754" s="12"/>
      <c r="D754" s="12"/>
      <c r="E754" s="26"/>
      <c r="F754" s="26"/>
      <c r="G754" s="26"/>
      <c r="H754" s="26"/>
      <c r="I754" s="26"/>
      <c r="J754" s="26"/>
      <c r="L754" s="45"/>
      <c r="M754" s="45"/>
      <c r="N754" s="137"/>
      <c r="O754" s="137"/>
    </row>
    <row r="755" customHeight="1" spans="3:15">
      <c r="C755" s="12"/>
      <c r="D755" s="12"/>
      <c r="E755" s="26"/>
      <c r="F755" s="26"/>
      <c r="G755" s="26"/>
      <c r="H755" s="26"/>
      <c r="I755" s="26"/>
      <c r="J755" s="26"/>
      <c r="L755" s="45"/>
      <c r="M755" s="45"/>
      <c r="N755" s="137"/>
      <c r="O755" s="137"/>
    </row>
    <row r="756" customHeight="1" spans="3:15">
      <c r="C756" s="12"/>
      <c r="D756" s="12"/>
      <c r="E756" s="26"/>
      <c r="F756" s="26"/>
      <c r="G756" s="26"/>
      <c r="H756" s="26"/>
      <c r="I756" s="26"/>
      <c r="J756" s="26"/>
      <c r="L756" s="45"/>
      <c r="M756" s="45"/>
      <c r="N756" s="137"/>
      <c r="O756" s="137"/>
    </row>
    <row r="757" customHeight="1" spans="3:15">
      <c r="C757" s="12"/>
      <c r="D757" s="12"/>
      <c r="E757" s="26"/>
      <c r="F757" s="26"/>
      <c r="G757" s="26"/>
      <c r="H757" s="26"/>
      <c r="I757" s="26"/>
      <c r="J757" s="26"/>
      <c r="L757" s="45"/>
      <c r="M757" s="45"/>
      <c r="N757" s="137"/>
      <c r="O757" s="137"/>
    </row>
    <row r="758" customHeight="1" spans="3:15">
      <c r="C758" s="12"/>
      <c r="D758" s="12"/>
      <c r="E758" s="26"/>
      <c r="F758" s="26"/>
      <c r="G758" s="26"/>
      <c r="H758" s="26"/>
      <c r="I758" s="26"/>
      <c r="J758" s="26"/>
      <c r="L758" s="45"/>
      <c r="M758" s="45"/>
      <c r="N758" s="137"/>
      <c r="O758" s="137"/>
    </row>
    <row r="759" customHeight="1" spans="3:15">
      <c r="C759" s="12"/>
      <c r="D759" s="12"/>
      <c r="E759" s="26"/>
      <c r="F759" s="26"/>
      <c r="G759" s="26"/>
      <c r="H759" s="26"/>
      <c r="I759" s="26"/>
      <c r="J759" s="26"/>
      <c r="L759" s="45"/>
      <c r="M759" s="45"/>
      <c r="N759" s="137"/>
      <c r="O759" s="137"/>
    </row>
    <row r="760" customHeight="1" spans="3:15">
      <c r="C760" s="12"/>
      <c r="D760" s="12"/>
      <c r="E760" s="26"/>
      <c r="F760" s="26"/>
      <c r="G760" s="26"/>
      <c r="H760" s="26"/>
      <c r="I760" s="26"/>
      <c r="J760" s="26"/>
      <c r="L760" s="45"/>
      <c r="M760" s="45"/>
      <c r="N760" s="137"/>
      <c r="O760" s="137"/>
    </row>
    <row r="761" customHeight="1" spans="3:15">
      <c r="C761" s="12"/>
      <c r="D761" s="12"/>
      <c r="E761" s="26"/>
      <c r="F761" s="26"/>
      <c r="G761" s="26"/>
      <c r="H761" s="26"/>
      <c r="I761" s="26"/>
      <c r="J761" s="26"/>
      <c r="L761" s="45"/>
      <c r="M761" s="45"/>
      <c r="N761" s="137"/>
      <c r="O761" s="137"/>
    </row>
    <row r="762" customHeight="1" spans="3:15">
      <c r="C762" s="12"/>
      <c r="D762" s="12"/>
      <c r="E762" s="26"/>
      <c r="F762" s="26"/>
      <c r="G762" s="26"/>
      <c r="H762" s="26"/>
      <c r="I762" s="26"/>
      <c r="J762" s="26"/>
      <c r="L762" s="45"/>
      <c r="M762" s="45"/>
      <c r="N762" s="137"/>
      <c r="O762" s="137"/>
    </row>
    <row r="763" customHeight="1" spans="3:15">
      <c r="C763" s="12"/>
      <c r="D763" s="12"/>
      <c r="E763" s="26"/>
      <c r="F763" s="26"/>
      <c r="G763" s="26"/>
      <c r="H763" s="26"/>
      <c r="I763" s="26"/>
      <c r="J763" s="26"/>
      <c r="L763" s="45"/>
      <c r="M763" s="45"/>
      <c r="N763" s="137"/>
      <c r="O763" s="137"/>
    </row>
    <row r="764" customHeight="1" spans="3:15">
      <c r="C764" s="12"/>
      <c r="D764" s="12"/>
      <c r="E764" s="26"/>
      <c r="F764" s="26"/>
      <c r="G764" s="26"/>
      <c r="H764" s="26"/>
      <c r="I764" s="26"/>
      <c r="J764" s="26"/>
      <c r="L764" s="45"/>
      <c r="M764" s="45"/>
      <c r="N764" s="137"/>
      <c r="O764" s="137"/>
    </row>
    <row r="765" customHeight="1" spans="3:15">
      <c r="C765" s="12"/>
      <c r="D765" s="12"/>
      <c r="E765" s="26"/>
      <c r="F765" s="26"/>
      <c r="G765" s="26"/>
      <c r="H765" s="26"/>
      <c r="I765" s="26"/>
      <c r="J765" s="26"/>
      <c r="L765" s="45"/>
      <c r="M765" s="45"/>
      <c r="N765" s="137"/>
      <c r="O765" s="137"/>
    </row>
    <row r="766" customHeight="1" spans="3:15">
      <c r="C766" s="12"/>
      <c r="D766" s="12"/>
      <c r="E766" s="26"/>
      <c r="F766" s="26"/>
      <c r="G766" s="26"/>
      <c r="H766" s="26"/>
      <c r="I766" s="26"/>
      <c r="J766" s="26"/>
      <c r="L766" s="45"/>
      <c r="M766" s="45"/>
      <c r="N766" s="137"/>
      <c r="O766" s="137"/>
    </row>
    <row r="767" customHeight="1" spans="3:15">
      <c r="C767" s="12"/>
      <c r="D767" s="12"/>
      <c r="E767" s="26"/>
      <c r="F767" s="26"/>
      <c r="G767" s="26"/>
      <c r="H767" s="26"/>
      <c r="I767" s="26"/>
      <c r="J767" s="26"/>
      <c r="L767" s="45"/>
      <c r="M767" s="45"/>
      <c r="N767" s="137"/>
      <c r="O767" s="137"/>
    </row>
    <row r="768" customHeight="1" spans="3:15">
      <c r="C768" s="12"/>
      <c r="D768" s="12"/>
      <c r="E768" s="26"/>
      <c r="F768" s="26"/>
      <c r="G768" s="26"/>
      <c r="H768" s="26"/>
      <c r="I768" s="26"/>
      <c r="J768" s="26"/>
      <c r="L768" s="45"/>
      <c r="M768" s="45"/>
      <c r="N768" s="137"/>
      <c r="O768" s="137"/>
    </row>
    <row r="769" customHeight="1" spans="3:15">
      <c r="C769" s="12"/>
      <c r="D769" s="12"/>
      <c r="E769" s="26"/>
      <c r="F769" s="26"/>
      <c r="G769" s="26"/>
      <c r="H769" s="26"/>
      <c r="I769" s="26"/>
      <c r="J769" s="26"/>
      <c r="L769" s="45"/>
      <c r="M769" s="45"/>
      <c r="N769" s="137"/>
      <c r="O769" s="137"/>
    </row>
    <row r="770" customHeight="1" spans="3:15">
      <c r="C770" s="12"/>
      <c r="D770" s="12"/>
      <c r="E770" s="26"/>
      <c r="F770" s="26"/>
      <c r="G770" s="26"/>
      <c r="H770" s="26"/>
      <c r="I770" s="26"/>
      <c r="J770" s="26"/>
      <c r="L770" s="45"/>
      <c r="M770" s="45"/>
      <c r="N770" s="137"/>
      <c r="O770" s="137"/>
    </row>
    <row r="771" customHeight="1" spans="3:15">
      <c r="C771" s="12"/>
      <c r="D771" s="12"/>
      <c r="E771" s="26"/>
      <c r="F771" s="26"/>
      <c r="G771" s="26"/>
      <c r="H771" s="26"/>
      <c r="I771" s="26"/>
      <c r="J771" s="26"/>
      <c r="L771" s="45"/>
      <c r="M771" s="45"/>
      <c r="N771" s="137"/>
      <c r="O771" s="137"/>
    </row>
    <row r="772" customHeight="1" spans="3:15">
      <c r="C772" s="12"/>
      <c r="D772" s="12"/>
      <c r="E772" s="26"/>
      <c r="F772" s="26"/>
      <c r="G772" s="26"/>
      <c r="H772" s="26"/>
      <c r="I772" s="26"/>
      <c r="J772" s="26"/>
      <c r="L772" s="45"/>
      <c r="M772" s="45"/>
      <c r="N772" s="137"/>
      <c r="O772" s="137"/>
    </row>
    <row r="773" customHeight="1" spans="3:15">
      <c r="C773" s="12"/>
      <c r="D773" s="12"/>
      <c r="E773" s="26"/>
      <c r="F773" s="26"/>
      <c r="G773" s="26"/>
      <c r="H773" s="26"/>
      <c r="I773" s="26"/>
      <c r="J773" s="26"/>
      <c r="L773" s="45"/>
      <c r="M773" s="45"/>
      <c r="N773" s="137"/>
      <c r="O773" s="137"/>
    </row>
    <row r="774" customHeight="1" spans="3:15">
      <c r="C774" s="12"/>
      <c r="D774" s="12"/>
      <c r="E774" s="26"/>
      <c r="F774" s="26"/>
      <c r="G774" s="26"/>
      <c r="H774" s="26"/>
      <c r="I774" s="26"/>
      <c r="J774" s="26"/>
      <c r="L774" s="45"/>
      <c r="M774" s="45"/>
      <c r="N774" s="137"/>
      <c r="O774" s="137"/>
    </row>
    <row r="775" customHeight="1" spans="3:15">
      <c r="C775" s="12"/>
      <c r="D775" s="12"/>
      <c r="E775" s="26"/>
      <c r="F775" s="26"/>
      <c r="G775" s="26"/>
      <c r="H775" s="26"/>
      <c r="I775" s="26"/>
      <c r="J775" s="26"/>
      <c r="L775" s="45"/>
      <c r="M775" s="45"/>
      <c r="N775" s="137"/>
      <c r="O775" s="137"/>
    </row>
    <row r="776" customHeight="1" spans="3:15">
      <c r="C776" s="12"/>
      <c r="D776" s="12"/>
      <c r="E776" s="26"/>
      <c r="F776" s="26"/>
      <c r="G776" s="26"/>
      <c r="H776" s="26"/>
      <c r="I776" s="26"/>
      <c r="J776" s="26"/>
      <c r="L776" s="45"/>
      <c r="M776" s="45"/>
      <c r="N776" s="137"/>
      <c r="O776" s="137"/>
    </row>
    <row r="777" customHeight="1" spans="3:15">
      <c r="C777" s="12"/>
      <c r="D777" s="12"/>
      <c r="E777" s="26"/>
      <c r="F777" s="26"/>
      <c r="G777" s="26"/>
      <c r="H777" s="26"/>
      <c r="I777" s="26"/>
      <c r="J777" s="26"/>
      <c r="L777" s="45"/>
      <c r="M777" s="45"/>
      <c r="N777" s="137"/>
      <c r="O777" s="137"/>
    </row>
    <row r="778" customHeight="1" spans="3:15">
      <c r="C778" s="12"/>
      <c r="D778" s="12"/>
      <c r="E778" s="26"/>
      <c r="F778" s="26"/>
      <c r="G778" s="26"/>
      <c r="H778" s="26"/>
      <c r="I778" s="26"/>
      <c r="J778" s="26"/>
      <c r="L778" s="45"/>
      <c r="M778" s="45"/>
      <c r="N778" s="137"/>
      <c r="O778" s="137"/>
    </row>
    <row r="779" customHeight="1" spans="3:15">
      <c r="C779" s="12"/>
      <c r="D779" s="12"/>
      <c r="E779" s="26"/>
      <c r="F779" s="26"/>
      <c r="G779" s="26"/>
      <c r="H779" s="26"/>
      <c r="I779" s="26"/>
      <c r="J779" s="26"/>
      <c r="L779" s="45"/>
      <c r="M779" s="45"/>
      <c r="N779" s="137"/>
      <c r="O779" s="137"/>
    </row>
    <row r="780" customHeight="1" spans="3:15">
      <c r="C780" s="12"/>
      <c r="D780" s="12"/>
      <c r="E780" s="26"/>
      <c r="F780" s="26"/>
      <c r="G780" s="26"/>
      <c r="H780" s="26"/>
      <c r="I780" s="26"/>
      <c r="J780" s="26"/>
      <c r="L780" s="45"/>
      <c r="M780" s="45"/>
      <c r="N780" s="137"/>
      <c r="O780" s="137"/>
    </row>
    <row r="781" customHeight="1" spans="3:15">
      <c r="C781" s="12"/>
      <c r="D781" s="12"/>
      <c r="E781" s="26"/>
      <c r="F781" s="26"/>
      <c r="G781" s="26"/>
      <c r="H781" s="26"/>
      <c r="I781" s="26"/>
      <c r="J781" s="26"/>
      <c r="L781" s="45"/>
      <c r="M781" s="45"/>
      <c r="N781" s="137"/>
      <c r="O781" s="137"/>
    </row>
    <row r="782" customHeight="1" spans="3:15">
      <c r="C782" s="12"/>
      <c r="D782" s="12"/>
      <c r="E782" s="26"/>
      <c r="F782" s="26"/>
      <c r="G782" s="26"/>
      <c r="H782" s="26"/>
      <c r="I782" s="26"/>
      <c r="J782" s="26"/>
      <c r="L782" s="45"/>
      <c r="M782" s="45"/>
      <c r="N782" s="137"/>
      <c r="O782" s="137"/>
    </row>
    <row r="783" customHeight="1" spans="3:15">
      <c r="C783" s="12"/>
      <c r="D783" s="12"/>
      <c r="E783" s="26"/>
      <c r="F783" s="26"/>
      <c r="G783" s="26"/>
      <c r="H783" s="26"/>
      <c r="I783" s="26"/>
      <c r="J783" s="26"/>
      <c r="L783" s="45"/>
      <c r="M783" s="45"/>
      <c r="N783" s="137"/>
      <c r="O783" s="137"/>
    </row>
    <row r="784" customHeight="1" spans="3:15">
      <c r="C784" s="12"/>
      <c r="D784" s="12"/>
      <c r="E784" s="26"/>
      <c r="F784" s="26"/>
      <c r="G784" s="26"/>
      <c r="H784" s="26"/>
      <c r="I784" s="26"/>
      <c r="J784" s="26"/>
      <c r="L784" s="45"/>
      <c r="M784" s="45"/>
      <c r="N784" s="137"/>
      <c r="O784" s="137"/>
    </row>
    <row r="785" customHeight="1" spans="3:15">
      <c r="C785" s="12"/>
      <c r="D785" s="12"/>
      <c r="E785" s="26"/>
      <c r="F785" s="26"/>
      <c r="G785" s="26"/>
      <c r="H785" s="26"/>
      <c r="I785" s="26"/>
      <c r="J785" s="26"/>
      <c r="L785" s="45"/>
      <c r="M785" s="45"/>
      <c r="N785" s="137"/>
      <c r="O785" s="137"/>
    </row>
    <row r="786" customHeight="1" spans="3:15">
      <c r="C786" s="12"/>
      <c r="D786" s="12"/>
      <c r="E786" s="26"/>
      <c r="F786" s="26"/>
      <c r="G786" s="26"/>
      <c r="H786" s="26"/>
      <c r="I786" s="26"/>
      <c r="J786" s="26"/>
      <c r="L786" s="45"/>
      <c r="M786" s="45"/>
      <c r="N786" s="137"/>
      <c r="O786" s="137"/>
    </row>
    <row r="787" customHeight="1" spans="3:15">
      <c r="C787" s="12"/>
      <c r="D787" s="12"/>
      <c r="E787" s="26"/>
      <c r="F787" s="26"/>
      <c r="G787" s="26"/>
      <c r="H787" s="26"/>
      <c r="I787" s="26"/>
      <c r="J787" s="26"/>
      <c r="L787" s="45"/>
      <c r="M787" s="45"/>
      <c r="N787" s="137"/>
      <c r="O787" s="137"/>
    </row>
    <row r="788" customHeight="1" spans="3:15">
      <c r="C788" s="12"/>
      <c r="D788" s="12"/>
      <c r="E788" s="26"/>
      <c r="F788" s="26"/>
      <c r="G788" s="26"/>
      <c r="H788" s="26"/>
      <c r="I788" s="26"/>
      <c r="J788" s="26"/>
      <c r="L788" s="45"/>
      <c r="M788" s="45"/>
      <c r="N788" s="137"/>
      <c r="O788" s="137"/>
    </row>
    <row r="789" customHeight="1" spans="3:15">
      <c r="C789" s="12"/>
      <c r="D789" s="12"/>
      <c r="E789" s="26"/>
      <c r="F789" s="26"/>
      <c r="G789" s="26"/>
      <c r="H789" s="26"/>
      <c r="I789" s="26"/>
      <c r="J789" s="26"/>
      <c r="L789" s="45"/>
      <c r="M789" s="45"/>
      <c r="N789" s="137"/>
      <c r="O789" s="137"/>
    </row>
    <row r="790" customHeight="1" spans="3:15">
      <c r="C790" s="12"/>
      <c r="D790" s="12"/>
      <c r="E790" s="26"/>
      <c r="F790" s="26"/>
      <c r="G790" s="26"/>
      <c r="H790" s="26"/>
      <c r="I790" s="26"/>
      <c r="J790" s="26"/>
      <c r="L790" s="45"/>
      <c r="M790" s="45"/>
      <c r="N790" s="137"/>
      <c r="O790" s="137"/>
    </row>
    <row r="791" customHeight="1" spans="3:15">
      <c r="C791" s="12"/>
      <c r="D791" s="12"/>
      <c r="E791" s="26"/>
      <c r="F791" s="26"/>
      <c r="G791" s="26"/>
      <c r="H791" s="26"/>
      <c r="I791" s="26"/>
      <c r="J791" s="26"/>
      <c r="L791" s="45"/>
      <c r="M791" s="45"/>
      <c r="N791" s="137"/>
      <c r="O791" s="137"/>
    </row>
    <row r="792" customHeight="1" spans="3:15">
      <c r="C792" s="12"/>
      <c r="D792" s="12"/>
      <c r="E792" s="26"/>
      <c r="F792" s="26"/>
      <c r="G792" s="26"/>
      <c r="H792" s="26"/>
      <c r="I792" s="26"/>
      <c r="J792" s="26"/>
      <c r="L792" s="45"/>
      <c r="M792" s="45"/>
      <c r="N792" s="137"/>
      <c r="O792" s="137"/>
    </row>
    <row r="793" customHeight="1" spans="3:15">
      <c r="C793" s="12"/>
      <c r="D793" s="12"/>
      <c r="E793" s="26"/>
      <c r="F793" s="26"/>
      <c r="G793" s="26"/>
      <c r="H793" s="26"/>
      <c r="I793" s="26"/>
      <c r="J793" s="26"/>
      <c r="L793" s="45"/>
      <c r="M793" s="45"/>
      <c r="N793" s="137"/>
      <c r="O793" s="137"/>
    </row>
    <row r="794" customHeight="1" spans="3:15">
      <c r="C794" s="12"/>
      <c r="D794" s="12"/>
      <c r="E794" s="26"/>
      <c r="F794" s="26"/>
      <c r="G794" s="26"/>
      <c r="H794" s="26"/>
      <c r="I794" s="26"/>
      <c r="J794" s="26"/>
      <c r="L794" s="45"/>
      <c r="M794" s="45"/>
      <c r="N794" s="137"/>
      <c r="O794" s="137"/>
    </row>
    <row r="795" customHeight="1" spans="3:15">
      <c r="C795" s="12"/>
      <c r="D795" s="12"/>
      <c r="E795" s="26"/>
      <c r="F795" s="26"/>
      <c r="G795" s="26"/>
      <c r="H795" s="26"/>
      <c r="I795" s="26"/>
      <c r="J795" s="26"/>
      <c r="L795" s="45"/>
      <c r="M795" s="45"/>
      <c r="N795" s="137"/>
      <c r="O795" s="137"/>
    </row>
    <row r="796" customHeight="1" spans="3:15">
      <c r="C796" s="12"/>
      <c r="D796" s="12"/>
      <c r="E796" s="26"/>
      <c r="F796" s="26"/>
      <c r="G796" s="26"/>
      <c r="H796" s="26"/>
      <c r="I796" s="26"/>
      <c r="J796" s="26"/>
      <c r="L796" s="45"/>
      <c r="M796" s="45"/>
      <c r="N796" s="137"/>
      <c r="O796" s="137"/>
    </row>
    <row r="797" customHeight="1" spans="3:15">
      <c r="C797" s="12"/>
      <c r="D797" s="12"/>
      <c r="E797" s="26"/>
      <c r="F797" s="26"/>
      <c r="G797" s="26"/>
      <c r="H797" s="26"/>
      <c r="I797" s="26"/>
      <c r="J797" s="26"/>
      <c r="L797" s="45"/>
      <c r="M797" s="45"/>
      <c r="N797" s="137"/>
      <c r="O797" s="137"/>
    </row>
    <row r="798" customHeight="1" spans="3:15">
      <c r="C798" s="12"/>
      <c r="D798" s="12"/>
      <c r="E798" s="26"/>
      <c r="F798" s="26"/>
      <c r="G798" s="26"/>
      <c r="H798" s="26"/>
      <c r="I798" s="26"/>
      <c r="J798" s="26"/>
      <c r="L798" s="45"/>
      <c r="M798" s="45"/>
      <c r="N798" s="137"/>
      <c r="O798" s="137"/>
    </row>
    <row r="799" customHeight="1" spans="3:15">
      <c r="C799" s="12"/>
      <c r="D799" s="12"/>
      <c r="E799" s="26"/>
      <c r="F799" s="26"/>
      <c r="G799" s="26"/>
      <c r="H799" s="26"/>
      <c r="I799" s="26"/>
      <c r="J799" s="26"/>
      <c r="L799" s="45"/>
      <c r="M799" s="45"/>
      <c r="N799" s="137"/>
      <c r="O799" s="137"/>
    </row>
    <row r="800" customHeight="1" spans="3:15">
      <c r="C800" s="12"/>
      <c r="D800" s="12"/>
      <c r="E800" s="26"/>
      <c r="F800" s="26"/>
      <c r="G800" s="26"/>
      <c r="H800" s="26"/>
      <c r="I800" s="26"/>
      <c r="J800" s="26"/>
      <c r="L800" s="45"/>
      <c r="M800" s="45"/>
      <c r="N800" s="137"/>
      <c r="O800" s="137"/>
    </row>
    <row r="801" customHeight="1" spans="3:15">
      <c r="C801" s="12"/>
      <c r="D801" s="12"/>
      <c r="E801" s="26"/>
      <c r="F801" s="26"/>
      <c r="G801" s="26"/>
      <c r="H801" s="26"/>
      <c r="I801" s="26"/>
      <c r="J801" s="26"/>
      <c r="L801" s="45"/>
      <c r="M801" s="45"/>
      <c r="N801" s="137"/>
      <c r="O801" s="137"/>
    </row>
    <row r="802" customHeight="1" spans="3:15">
      <c r="C802" s="12"/>
      <c r="D802" s="12"/>
      <c r="E802" s="26"/>
      <c r="F802" s="26"/>
      <c r="G802" s="26"/>
      <c r="H802" s="26"/>
      <c r="I802" s="26"/>
      <c r="J802" s="26"/>
      <c r="L802" s="45"/>
      <c r="M802" s="45"/>
      <c r="N802" s="137"/>
      <c r="O802" s="137"/>
    </row>
    <row r="803" customHeight="1" spans="3:15">
      <c r="C803" s="12"/>
      <c r="D803" s="12"/>
      <c r="E803" s="26"/>
      <c r="F803" s="26"/>
      <c r="G803" s="26"/>
      <c r="H803" s="26"/>
      <c r="I803" s="26"/>
      <c r="J803" s="26"/>
      <c r="L803" s="45"/>
      <c r="M803" s="45"/>
      <c r="N803" s="137"/>
      <c r="O803" s="137"/>
    </row>
    <row r="804" customHeight="1" spans="3:15">
      <c r="C804" s="12"/>
      <c r="D804" s="12"/>
      <c r="E804" s="26"/>
      <c r="F804" s="26"/>
      <c r="G804" s="26"/>
      <c r="H804" s="26"/>
      <c r="I804" s="26"/>
      <c r="J804" s="26"/>
      <c r="L804" s="45"/>
      <c r="M804" s="45"/>
      <c r="N804" s="137"/>
      <c r="O804" s="137"/>
    </row>
    <row r="805" customHeight="1" spans="3:15">
      <c r="C805" s="12"/>
      <c r="D805" s="12"/>
      <c r="E805" s="26"/>
      <c r="F805" s="26"/>
      <c r="G805" s="26"/>
      <c r="H805" s="26"/>
      <c r="I805" s="26"/>
      <c r="J805" s="26"/>
      <c r="L805" s="45"/>
      <c r="M805" s="45"/>
      <c r="N805" s="137"/>
      <c r="O805" s="137"/>
    </row>
    <row r="806" customHeight="1" spans="3:15">
      <c r="C806" s="12"/>
      <c r="D806" s="12"/>
      <c r="E806" s="26"/>
      <c r="F806" s="26"/>
      <c r="G806" s="26"/>
      <c r="H806" s="26"/>
      <c r="I806" s="26"/>
      <c r="J806" s="26"/>
      <c r="L806" s="45"/>
      <c r="M806" s="45"/>
      <c r="N806" s="137"/>
      <c r="O806" s="137"/>
    </row>
    <row r="807" customHeight="1" spans="3:15">
      <c r="C807" s="12"/>
      <c r="D807" s="12"/>
      <c r="E807" s="26"/>
      <c r="F807" s="26"/>
      <c r="G807" s="26"/>
      <c r="H807" s="26"/>
      <c r="I807" s="26"/>
      <c r="J807" s="26"/>
      <c r="L807" s="45"/>
      <c r="M807" s="45"/>
      <c r="N807" s="137"/>
      <c r="O807" s="137"/>
    </row>
    <row r="808" customHeight="1" spans="3:15">
      <c r="C808" s="12"/>
      <c r="D808" s="12"/>
      <c r="E808" s="26"/>
      <c r="F808" s="26"/>
      <c r="G808" s="26"/>
      <c r="H808" s="26"/>
      <c r="I808" s="26"/>
      <c r="J808" s="26"/>
      <c r="L808" s="45"/>
      <c r="M808" s="45"/>
      <c r="N808" s="137"/>
      <c r="O808" s="137"/>
    </row>
    <row r="809" customHeight="1" spans="3:15">
      <c r="C809" s="12"/>
      <c r="D809" s="12"/>
      <c r="E809" s="26"/>
      <c r="F809" s="26"/>
      <c r="G809" s="26"/>
      <c r="H809" s="26"/>
      <c r="I809" s="26"/>
      <c r="J809" s="26"/>
      <c r="L809" s="45"/>
      <c r="M809" s="45"/>
      <c r="N809" s="137"/>
      <c r="O809" s="137"/>
    </row>
    <row r="810" customHeight="1" spans="3:15">
      <c r="C810" s="12"/>
      <c r="D810" s="12"/>
      <c r="E810" s="26"/>
      <c r="F810" s="26"/>
      <c r="G810" s="26"/>
      <c r="H810" s="26"/>
      <c r="I810" s="26"/>
      <c r="J810" s="26"/>
      <c r="L810" s="45"/>
      <c r="M810" s="45"/>
      <c r="N810" s="137"/>
      <c r="O810" s="137"/>
    </row>
    <row r="811" customHeight="1" spans="3:15">
      <c r="C811" s="12"/>
      <c r="D811" s="12"/>
      <c r="E811" s="26"/>
      <c r="F811" s="26"/>
      <c r="G811" s="26"/>
      <c r="H811" s="26"/>
      <c r="I811" s="26"/>
      <c r="J811" s="26"/>
      <c r="L811" s="45"/>
      <c r="M811" s="45"/>
      <c r="N811" s="137"/>
      <c r="O811" s="137"/>
    </row>
    <row r="812" customHeight="1" spans="3:15">
      <c r="C812" s="12"/>
      <c r="D812" s="12"/>
      <c r="E812" s="26"/>
      <c r="F812" s="26"/>
      <c r="G812" s="26"/>
      <c r="H812" s="26"/>
      <c r="I812" s="26"/>
      <c r="J812" s="26"/>
      <c r="L812" s="45"/>
      <c r="M812" s="45"/>
      <c r="N812" s="137"/>
      <c r="O812" s="137"/>
    </row>
    <row r="813" customHeight="1" spans="3:15">
      <c r="C813" s="12"/>
      <c r="D813" s="12"/>
      <c r="E813" s="26"/>
      <c r="F813" s="26"/>
      <c r="G813" s="26"/>
      <c r="H813" s="26"/>
      <c r="I813" s="26"/>
      <c r="J813" s="26"/>
      <c r="L813" s="45"/>
      <c r="M813" s="45"/>
      <c r="N813" s="137"/>
      <c r="O813" s="137"/>
    </row>
    <row r="814" customHeight="1" spans="3:15">
      <c r="C814" s="12"/>
      <c r="D814" s="12"/>
      <c r="E814" s="26"/>
      <c r="F814" s="26"/>
      <c r="G814" s="26"/>
      <c r="H814" s="26"/>
      <c r="I814" s="26"/>
      <c r="J814" s="26"/>
      <c r="L814" s="45"/>
      <c r="M814" s="45"/>
      <c r="N814" s="137"/>
      <c r="O814" s="137"/>
    </row>
    <row r="815" customHeight="1" spans="3:15">
      <c r="C815" s="12"/>
      <c r="D815" s="12"/>
      <c r="E815" s="26"/>
      <c r="F815" s="26"/>
      <c r="G815" s="26"/>
      <c r="H815" s="26"/>
      <c r="I815" s="26"/>
      <c r="J815" s="26"/>
      <c r="L815" s="45"/>
      <c r="M815" s="45"/>
      <c r="N815" s="137"/>
      <c r="O815" s="137"/>
    </row>
    <row r="816" customHeight="1" spans="3:15">
      <c r="C816" s="12"/>
      <c r="D816" s="12"/>
      <c r="E816" s="26"/>
      <c r="F816" s="26"/>
      <c r="G816" s="26"/>
      <c r="H816" s="26"/>
      <c r="I816" s="26"/>
      <c r="J816" s="26"/>
      <c r="L816" s="45"/>
      <c r="M816" s="45"/>
      <c r="N816" s="137"/>
      <c r="O816" s="137"/>
    </row>
    <row r="817" customHeight="1" spans="3:15">
      <c r="C817" s="12"/>
      <c r="D817" s="12"/>
      <c r="E817" s="26"/>
      <c r="F817" s="26"/>
      <c r="G817" s="26"/>
      <c r="H817" s="26"/>
      <c r="I817" s="26"/>
      <c r="J817" s="26"/>
      <c r="L817" s="45"/>
      <c r="M817" s="45"/>
      <c r="N817" s="137"/>
      <c r="O817" s="137"/>
    </row>
    <row r="818" customHeight="1" spans="3:15">
      <c r="C818" s="12"/>
      <c r="D818" s="12"/>
      <c r="E818" s="26"/>
      <c r="F818" s="26"/>
      <c r="G818" s="26"/>
      <c r="H818" s="26"/>
      <c r="I818" s="26"/>
      <c r="J818" s="26"/>
      <c r="L818" s="45"/>
      <c r="M818" s="45"/>
      <c r="N818" s="137"/>
      <c r="O818" s="137"/>
    </row>
    <row r="819" customHeight="1" spans="3:15">
      <c r="C819" s="12"/>
      <c r="D819" s="12"/>
      <c r="E819" s="26"/>
      <c r="F819" s="26"/>
      <c r="G819" s="26"/>
      <c r="H819" s="26"/>
      <c r="I819" s="26"/>
      <c r="J819" s="26"/>
      <c r="L819" s="45"/>
      <c r="M819" s="45"/>
      <c r="N819" s="137"/>
      <c r="O819" s="137"/>
    </row>
    <row r="820" customHeight="1" spans="3:15">
      <c r="C820" s="12"/>
      <c r="D820" s="12"/>
      <c r="E820" s="26"/>
      <c r="F820" s="26"/>
      <c r="G820" s="26"/>
      <c r="H820" s="26"/>
      <c r="I820" s="26"/>
      <c r="J820" s="26"/>
      <c r="L820" s="45"/>
      <c r="M820" s="45"/>
      <c r="N820" s="137"/>
      <c r="O820" s="137"/>
    </row>
    <row r="821" customHeight="1" spans="3:15">
      <c r="C821" s="12"/>
      <c r="D821" s="12"/>
      <c r="E821" s="26"/>
      <c r="F821" s="26"/>
      <c r="G821" s="26"/>
      <c r="H821" s="26"/>
      <c r="I821" s="26"/>
      <c r="J821" s="26"/>
      <c r="L821" s="45"/>
      <c r="M821" s="45"/>
      <c r="N821" s="137"/>
      <c r="O821" s="137"/>
    </row>
    <row r="822" customHeight="1" spans="3:15">
      <c r="C822" s="12"/>
      <c r="D822" s="12"/>
      <c r="E822" s="26"/>
      <c r="F822" s="26"/>
      <c r="G822" s="26"/>
      <c r="H822" s="26"/>
      <c r="I822" s="26"/>
      <c r="J822" s="26"/>
      <c r="L822" s="45"/>
      <c r="M822" s="45"/>
      <c r="N822" s="137"/>
      <c r="O822" s="137"/>
    </row>
    <row r="823" customHeight="1" spans="3:15">
      <c r="C823" s="12"/>
      <c r="D823" s="12"/>
      <c r="E823" s="26"/>
      <c r="F823" s="26"/>
      <c r="G823" s="26"/>
      <c r="H823" s="26"/>
      <c r="I823" s="26"/>
      <c r="J823" s="26"/>
      <c r="L823" s="45"/>
      <c r="M823" s="45"/>
      <c r="N823" s="137"/>
      <c r="O823" s="137"/>
    </row>
    <row r="824" customHeight="1" spans="3:15">
      <c r="C824" s="12"/>
      <c r="D824" s="12"/>
      <c r="E824" s="26"/>
      <c r="F824" s="26"/>
      <c r="G824" s="26"/>
      <c r="H824" s="26"/>
      <c r="I824" s="26"/>
      <c r="J824" s="26"/>
      <c r="L824" s="45"/>
      <c r="M824" s="45"/>
      <c r="N824" s="137"/>
      <c r="O824" s="137"/>
    </row>
    <row r="825" customHeight="1" spans="3:15">
      <c r="C825" s="12"/>
      <c r="D825" s="12"/>
      <c r="E825" s="26"/>
      <c r="F825" s="26"/>
      <c r="G825" s="26"/>
      <c r="H825" s="26"/>
      <c r="I825" s="26"/>
      <c r="J825" s="26"/>
      <c r="L825" s="45"/>
      <c r="M825" s="45"/>
      <c r="N825" s="137"/>
      <c r="O825" s="137"/>
    </row>
    <row r="826" customHeight="1" spans="3:15">
      <c r="C826" s="12"/>
      <c r="D826" s="12"/>
      <c r="E826" s="26"/>
      <c r="F826" s="26"/>
      <c r="G826" s="26"/>
      <c r="H826" s="26"/>
      <c r="I826" s="26"/>
      <c r="J826" s="26"/>
      <c r="L826" s="45"/>
      <c r="M826" s="45"/>
      <c r="N826" s="137"/>
      <c r="O826" s="137"/>
    </row>
    <row r="827" customHeight="1" spans="3:15">
      <c r="C827" s="12"/>
      <c r="D827" s="12"/>
      <c r="E827" s="26"/>
      <c r="F827" s="26"/>
      <c r="G827" s="26"/>
      <c r="H827" s="26"/>
      <c r="I827" s="26"/>
      <c r="J827" s="26"/>
      <c r="L827" s="45"/>
      <c r="M827" s="45"/>
      <c r="N827" s="137"/>
      <c r="O827" s="137"/>
    </row>
    <row r="828" customHeight="1" spans="3:15">
      <c r="C828" s="12"/>
      <c r="D828" s="12"/>
      <c r="E828" s="26"/>
      <c r="F828" s="26"/>
      <c r="G828" s="26"/>
      <c r="H828" s="26"/>
      <c r="I828" s="26"/>
      <c r="J828" s="26"/>
      <c r="L828" s="45"/>
      <c r="M828" s="45"/>
      <c r="N828" s="137"/>
      <c r="O828" s="137"/>
    </row>
    <row r="829" customHeight="1" spans="3:15">
      <c r="C829" s="12"/>
      <c r="D829" s="12"/>
      <c r="E829" s="26"/>
      <c r="F829" s="26"/>
      <c r="G829" s="26"/>
      <c r="H829" s="26"/>
      <c r="I829" s="26"/>
      <c r="J829" s="26"/>
      <c r="L829" s="45"/>
      <c r="M829" s="45"/>
      <c r="N829" s="137"/>
      <c r="O829" s="137"/>
    </row>
    <row r="830" customHeight="1" spans="3:15">
      <c r="C830" s="12"/>
      <c r="D830" s="12"/>
      <c r="E830" s="26"/>
      <c r="F830" s="26"/>
      <c r="G830" s="26"/>
      <c r="H830" s="26"/>
      <c r="I830" s="26"/>
      <c r="J830" s="26"/>
      <c r="L830" s="45"/>
      <c r="M830" s="45"/>
      <c r="N830" s="137"/>
      <c r="O830" s="137"/>
    </row>
    <row r="831" customHeight="1" spans="3:15">
      <c r="C831" s="12"/>
      <c r="D831" s="12"/>
      <c r="E831" s="26"/>
      <c r="F831" s="26"/>
      <c r="G831" s="26"/>
      <c r="H831" s="26"/>
      <c r="I831" s="26"/>
      <c r="J831" s="26"/>
      <c r="L831" s="45"/>
      <c r="M831" s="45"/>
      <c r="N831" s="137"/>
      <c r="O831" s="137"/>
    </row>
    <row r="832" customHeight="1" spans="3:15">
      <c r="C832" s="12"/>
      <c r="D832" s="12"/>
      <c r="E832" s="26"/>
      <c r="F832" s="26"/>
      <c r="G832" s="26"/>
      <c r="H832" s="26"/>
      <c r="I832" s="26"/>
      <c r="J832" s="26"/>
      <c r="L832" s="45"/>
      <c r="M832" s="45"/>
      <c r="N832" s="137"/>
      <c r="O832" s="137"/>
    </row>
    <row r="833" customHeight="1" spans="3:15">
      <c r="C833" s="12"/>
      <c r="D833" s="12"/>
      <c r="E833" s="26"/>
      <c r="F833" s="26"/>
      <c r="G833" s="26"/>
      <c r="H833" s="26"/>
      <c r="I833" s="26"/>
      <c r="J833" s="26"/>
      <c r="L833" s="45"/>
      <c r="M833" s="45"/>
      <c r="N833" s="137"/>
      <c r="O833" s="137"/>
    </row>
    <row r="834" customHeight="1" spans="3:15">
      <c r="C834" s="12"/>
      <c r="D834" s="12"/>
      <c r="E834" s="26"/>
      <c r="F834" s="26"/>
      <c r="G834" s="26"/>
      <c r="H834" s="26"/>
      <c r="I834" s="26"/>
      <c r="J834" s="26"/>
      <c r="L834" s="45"/>
      <c r="M834" s="45"/>
      <c r="N834" s="137"/>
      <c r="O834" s="137"/>
    </row>
    <row r="835" customHeight="1" spans="3:15">
      <c r="C835" s="12"/>
      <c r="D835" s="12"/>
      <c r="E835" s="26"/>
      <c r="F835" s="26"/>
      <c r="G835" s="26"/>
      <c r="H835" s="26"/>
      <c r="I835" s="26"/>
      <c r="J835" s="26"/>
      <c r="L835" s="45"/>
      <c r="M835" s="45"/>
      <c r="N835" s="137"/>
      <c r="O835" s="137"/>
    </row>
    <row r="836" customHeight="1" spans="3:15">
      <c r="C836" s="12"/>
      <c r="D836" s="12"/>
      <c r="E836" s="26"/>
      <c r="F836" s="26"/>
      <c r="G836" s="26"/>
      <c r="H836" s="26"/>
      <c r="I836" s="26"/>
      <c r="J836" s="26"/>
      <c r="L836" s="45"/>
      <c r="M836" s="45"/>
      <c r="N836" s="137"/>
      <c r="O836" s="137"/>
    </row>
    <row r="837" customHeight="1" spans="3:15">
      <c r="C837" s="12"/>
      <c r="D837" s="12"/>
      <c r="E837" s="26"/>
      <c r="F837" s="26"/>
      <c r="G837" s="26"/>
      <c r="H837" s="26"/>
      <c r="I837" s="26"/>
      <c r="J837" s="26"/>
      <c r="L837" s="45"/>
      <c r="M837" s="45"/>
      <c r="N837" s="137"/>
      <c r="O837" s="137"/>
    </row>
    <row r="838" customHeight="1" spans="3:15">
      <c r="C838" s="12"/>
      <c r="D838" s="12"/>
      <c r="E838" s="26"/>
      <c r="F838" s="26"/>
      <c r="G838" s="26"/>
      <c r="H838" s="26"/>
      <c r="I838" s="26"/>
      <c r="J838" s="26"/>
      <c r="L838" s="45"/>
      <c r="M838" s="45"/>
      <c r="N838" s="137"/>
      <c r="O838" s="137"/>
    </row>
    <row r="839" customHeight="1" spans="3:15">
      <c r="C839" s="12"/>
      <c r="D839" s="12"/>
      <c r="E839" s="26"/>
      <c r="F839" s="26"/>
      <c r="G839" s="26"/>
      <c r="H839" s="26"/>
      <c r="I839" s="26"/>
      <c r="J839" s="26"/>
      <c r="L839" s="45"/>
      <c r="M839" s="45"/>
      <c r="N839" s="137"/>
      <c r="O839" s="137"/>
    </row>
    <row r="840" customHeight="1" spans="3:15">
      <c r="C840" s="12"/>
      <c r="D840" s="12"/>
      <c r="E840" s="26"/>
      <c r="F840" s="26"/>
      <c r="G840" s="26"/>
      <c r="H840" s="26"/>
      <c r="I840" s="26"/>
      <c r="J840" s="26"/>
      <c r="L840" s="45"/>
      <c r="M840" s="45"/>
      <c r="N840" s="137"/>
      <c r="O840" s="137"/>
    </row>
    <row r="841" customHeight="1" spans="3:15">
      <c r="C841" s="12"/>
      <c r="D841" s="12"/>
      <c r="E841" s="26"/>
      <c r="F841" s="26"/>
      <c r="G841" s="26"/>
      <c r="H841" s="26"/>
      <c r="I841" s="26"/>
      <c r="J841" s="26"/>
      <c r="L841" s="45"/>
      <c r="M841" s="45"/>
      <c r="N841" s="137"/>
      <c r="O841" s="137"/>
    </row>
    <row r="842" customHeight="1" spans="3:15">
      <c r="C842" s="12"/>
      <c r="D842" s="12"/>
      <c r="E842" s="26"/>
      <c r="F842" s="26"/>
      <c r="G842" s="26"/>
      <c r="H842" s="26"/>
      <c r="I842" s="26"/>
      <c r="J842" s="26"/>
      <c r="L842" s="45"/>
      <c r="M842" s="45"/>
      <c r="N842" s="137"/>
      <c r="O842" s="137"/>
    </row>
    <row r="843" customHeight="1" spans="3:15">
      <c r="C843" s="12"/>
      <c r="D843" s="12"/>
      <c r="E843" s="26"/>
      <c r="F843" s="26"/>
      <c r="G843" s="26"/>
      <c r="H843" s="26"/>
      <c r="I843" s="26"/>
      <c r="J843" s="26"/>
      <c r="L843" s="45"/>
      <c r="M843" s="45"/>
      <c r="N843" s="137"/>
      <c r="O843" s="137"/>
    </row>
    <row r="844" customHeight="1" spans="3:15">
      <c r="C844" s="12"/>
      <c r="D844" s="12"/>
      <c r="E844" s="26"/>
      <c r="F844" s="26"/>
      <c r="G844" s="26"/>
      <c r="H844" s="26"/>
      <c r="I844" s="26"/>
      <c r="J844" s="26"/>
      <c r="L844" s="45"/>
      <c r="M844" s="45"/>
      <c r="N844" s="137"/>
      <c r="O844" s="137"/>
    </row>
    <row r="845" customHeight="1" spans="3:15">
      <c r="C845" s="12"/>
      <c r="D845" s="12"/>
      <c r="E845" s="26"/>
      <c r="F845" s="26"/>
      <c r="G845" s="26"/>
      <c r="H845" s="26"/>
      <c r="I845" s="26"/>
      <c r="J845" s="26"/>
      <c r="L845" s="45"/>
      <c r="M845" s="45"/>
      <c r="N845" s="137"/>
      <c r="O845" s="137"/>
    </row>
    <row r="846" customHeight="1" spans="3:15">
      <c r="C846" s="12"/>
      <c r="D846" s="12"/>
      <c r="E846" s="26"/>
      <c r="F846" s="26"/>
      <c r="G846" s="26"/>
      <c r="H846" s="26"/>
      <c r="I846" s="26"/>
      <c r="J846" s="26"/>
      <c r="L846" s="45"/>
      <c r="M846" s="45"/>
      <c r="N846" s="137"/>
      <c r="O846" s="137"/>
    </row>
    <row r="847" customHeight="1" spans="3:15">
      <c r="C847" s="12"/>
      <c r="D847" s="12"/>
      <c r="E847" s="26"/>
      <c r="F847" s="26"/>
      <c r="G847" s="26"/>
      <c r="H847" s="26"/>
      <c r="I847" s="26"/>
      <c r="J847" s="26"/>
      <c r="L847" s="45"/>
      <c r="M847" s="45"/>
      <c r="N847" s="137"/>
      <c r="O847" s="137"/>
    </row>
    <row r="848" customHeight="1" spans="3:15">
      <c r="C848" s="12"/>
      <c r="D848" s="12"/>
      <c r="E848" s="26"/>
      <c r="F848" s="26"/>
      <c r="G848" s="26"/>
      <c r="H848" s="26"/>
      <c r="I848" s="26"/>
      <c r="J848" s="26"/>
      <c r="L848" s="45"/>
      <c r="M848" s="45"/>
      <c r="N848" s="137"/>
      <c r="O848" s="137"/>
    </row>
    <row r="849" customHeight="1" spans="3:15">
      <c r="C849" s="12"/>
      <c r="D849" s="12"/>
      <c r="E849" s="26"/>
      <c r="F849" s="26"/>
      <c r="G849" s="26"/>
      <c r="H849" s="26"/>
      <c r="I849" s="26"/>
      <c r="J849" s="26"/>
      <c r="L849" s="45"/>
      <c r="M849" s="45"/>
      <c r="N849" s="137"/>
      <c r="O849" s="137"/>
    </row>
    <row r="850" customHeight="1" spans="3:15">
      <c r="C850" s="12"/>
      <c r="D850" s="12"/>
      <c r="E850" s="26"/>
      <c r="F850" s="26"/>
      <c r="G850" s="26"/>
      <c r="H850" s="26"/>
      <c r="I850" s="26"/>
      <c r="J850" s="26"/>
      <c r="L850" s="45"/>
      <c r="M850" s="45"/>
      <c r="N850" s="137"/>
      <c r="O850" s="137"/>
    </row>
    <row r="851" customHeight="1" spans="3:15">
      <c r="C851" s="12"/>
      <c r="D851" s="12"/>
      <c r="E851" s="26"/>
      <c r="F851" s="26"/>
      <c r="G851" s="26"/>
      <c r="H851" s="26"/>
      <c r="I851" s="26"/>
      <c r="J851" s="26"/>
      <c r="L851" s="45"/>
      <c r="M851" s="45"/>
      <c r="N851" s="137"/>
      <c r="O851" s="137"/>
    </row>
    <row r="852" customHeight="1" spans="3:15">
      <c r="C852" s="12"/>
      <c r="D852" s="12"/>
      <c r="E852" s="26"/>
      <c r="F852" s="26"/>
      <c r="G852" s="26"/>
      <c r="H852" s="26"/>
      <c r="I852" s="26"/>
      <c r="J852" s="26"/>
      <c r="L852" s="45"/>
      <c r="M852" s="45"/>
      <c r="N852" s="137"/>
      <c r="O852" s="137"/>
    </row>
    <row r="853" customHeight="1" spans="3:15">
      <c r="C853" s="12"/>
      <c r="D853" s="12"/>
      <c r="E853" s="26"/>
      <c r="F853" s="26"/>
      <c r="G853" s="26"/>
      <c r="H853" s="26"/>
      <c r="I853" s="26"/>
      <c r="J853" s="26"/>
      <c r="L853" s="45"/>
      <c r="M853" s="45"/>
      <c r="N853" s="137"/>
      <c r="O853" s="137"/>
    </row>
    <row r="854" customHeight="1" spans="3:15">
      <c r="C854" s="12"/>
      <c r="D854" s="12"/>
      <c r="E854" s="26"/>
      <c r="F854" s="26"/>
      <c r="G854" s="26"/>
      <c r="H854" s="26"/>
      <c r="I854" s="26"/>
      <c r="J854" s="26"/>
      <c r="L854" s="45"/>
      <c r="M854" s="45"/>
      <c r="N854" s="137"/>
      <c r="O854" s="137"/>
    </row>
    <row r="855" customHeight="1" spans="3:15">
      <c r="C855" s="12"/>
      <c r="D855" s="12"/>
      <c r="E855" s="26"/>
      <c r="F855" s="26"/>
      <c r="G855" s="26"/>
      <c r="H855" s="26"/>
      <c r="I855" s="26"/>
      <c r="J855" s="26"/>
      <c r="L855" s="45"/>
      <c r="M855" s="45"/>
      <c r="N855" s="137"/>
      <c r="O855" s="137"/>
    </row>
    <row r="856" customHeight="1" spans="3:15">
      <c r="C856" s="12"/>
      <c r="D856" s="12"/>
      <c r="E856" s="26"/>
      <c r="F856" s="26"/>
      <c r="G856" s="26"/>
      <c r="H856" s="26"/>
      <c r="I856" s="26"/>
      <c r="J856" s="26"/>
      <c r="L856" s="45"/>
      <c r="M856" s="45"/>
      <c r="N856" s="137"/>
      <c r="O856" s="137"/>
    </row>
    <row r="857" customHeight="1" spans="3:15">
      <c r="C857" s="12"/>
      <c r="D857" s="12"/>
      <c r="E857" s="26"/>
      <c r="F857" s="26"/>
      <c r="G857" s="26"/>
      <c r="H857" s="26"/>
      <c r="I857" s="26"/>
      <c r="J857" s="26"/>
      <c r="L857" s="45"/>
      <c r="M857" s="45"/>
      <c r="N857" s="137"/>
      <c r="O857" s="137"/>
    </row>
    <row r="858" customHeight="1" spans="3:15">
      <c r="C858" s="12"/>
      <c r="D858" s="12"/>
      <c r="E858" s="26"/>
      <c r="F858" s="26"/>
      <c r="G858" s="26"/>
      <c r="H858" s="26"/>
      <c r="I858" s="26"/>
      <c r="J858" s="26"/>
      <c r="L858" s="45"/>
      <c r="M858" s="45"/>
      <c r="N858" s="137"/>
      <c r="O858" s="137"/>
    </row>
    <row r="859" customHeight="1" spans="3:15">
      <c r="C859" s="12"/>
      <c r="D859" s="12"/>
      <c r="E859" s="26"/>
      <c r="F859" s="26"/>
      <c r="G859" s="26"/>
      <c r="H859" s="26"/>
      <c r="I859" s="26"/>
      <c r="J859" s="26"/>
      <c r="L859" s="45"/>
      <c r="M859" s="45"/>
      <c r="N859" s="137"/>
      <c r="O859" s="137"/>
    </row>
    <row r="860" customHeight="1" spans="3:15">
      <c r="C860" s="12"/>
      <c r="D860" s="12"/>
      <c r="E860" s="26"/>
      <c r="F860" s="26"/>
      <c r="G860" s="26"/>
      <c r="H860" s="26"/>
      <c r="I860" s="26"/>
      <c r="J860" s="26"/>
      <c r="L860" s="45"/>
      <c r="M860" s="45"/>
      <c r="N860" s="137"/>
      <c r="O860" s="137"/>
    </row>
    <row r="861" customHeight="1" spans="3:15">
      <c r="C861" s="12"/>
      <c r="D861" s="12"/>
      <c r="E861" s="26"/>
      <c r="F861" s="26"/>
      <c r="G861" s="26"/>
      <c r="H861" s="26"/>
      <c r="I861" s="26"/>
      <c r="J861" s="26"/>
      <c r="L861" s="45"/>
      <c r="M861" s="45"/>
      <c r="N861" s="137"/>
      <c r="O861" s="137"/>
    </row>
    <row r="862" customHeight="1" spans="3:15">
      <c r="C862" s="12"/>
      <c r="D862" s="12"/>
      <c r="E862" s="26"/>
      <c r="F862" s="26"/>
      <c r="G862" s="26"/>
      <c r="H862" s="26"/>
      <c r="I862" s="26"/>
      <c r="J862" s="26"/>
      <c r="L862" s="45"/>
      <c r="M862" s="45"/>
      <c r="N862" s="137"/>
      <c r="O862" s="137"/>
    </row>
    <row r="863" customHeight="1" spans="3:15">
      <c r="C863" s="12"/>
      <c r="D863" s="12"/>
      <c r="E863" s="26"/>
      <c r="F863" s="26"/>
      <c r="G863" s="26"/>
      <c r="H863" s="26"/>
      <c r="I863" s="26"/>
      <c r="J863" s="26"/>
      <c r="L863" s="45"/>
      <c r="M863" s="45"/>
      <c r="N863" s="137"/>
      <c r="O863" s="137"/>
    </row>
    <row r="864" customHeight="1" spans="3:15">
      <c r="C864" s="12"/>
      <c r="D864" s="12"/>
      <c r="E864" s="26"/>
      <c r="F864" s="26"/>
      <c r="G864" s="26"/>
      <c r="H864" s="26"/>
      <c r="I864" s="26"/>
      <c r="J864" s="26"/>
      <c r="L864" s="45"/>
      <c r="M864" s="45"/>
      <c r="N864" s="137"/>
      <c r="O864" s="137"/>
    </row>
    <row r="865" customHeight="1" spans="3:15">
      <c r="C865" s="12"/>
      <c r="D865" s="12"/>
      <c r="E865" s="26"/>
      <c r="F865" s="26"/>
      <c r="G865" s="26"/>
      <c r="H865" s="26"/>
      <c r="I865" s="26"/>
      <c r="J865" s="26"/>
      <c r="L865" s="45"/>
      <c r="M865" s="45"/>
      <c r="N865" s="137"/>
      <c r="O865" s="137"/>
    </row>
    <row r="866" customHeight="1" spans="3:15">
      <c r="C866" s="12"/>
      <c r="D866" s="12"/>
      <c r="E866" s="26"/>
      <c r="F866" s="26"/>
      <c r="G866" s="26"/>
      <c r="H866" s="26"/>
      <c r="I866" s="26"/>
      <c r="J866" s="26"/>
      <c r="L866" s="45"/>
      <c r="M866" s="45"/>
      <c r="N866" s="137"/>
      <c r="O866" s="137"/>
    </row>
    <row r="867" customHeight="1" spans="3:15">
      <c r="C867" s="12"/>
      <c r="D867" s="12"/>
      <c r="E867" s="26"/>
      <c r="F867" s="26"/>
      <c r="G867" s="26"/>
      <c r="H867" s="26"/>
      <c r="I867" s="26"/>
      <c r="J867" s="26"/>
      <c r="L867" s="45"/>
      <c r="M867" s="45"/>
      <c r="N867" s="137"/>
      <c r="O867" s="137"/>
    </row>
    <row r="868" customHeight="1" spans="3:15">
      <c r="C868" s="12"/>
      <c r="D868" s="12"/>
      <c r="E868" s="26"/>
      <c r="F868" s="26"/>
      <c r="G868" s="26"/>
      <c r="H868" s="26"/>
      <c r="I868" s="26"/>
      <c r="J868" s="26"/>
      <c r="L868" s="45"/>
      <c r="M868" s="45"/>
      <c r="N868" s="137"/>
      <c r="O868" s="137"/>
    </row>
    <row r="869" customHeight="1" spans="3:15">
      <c r="C869" s="12"/>
      <c r="D869" s="12"/>
      <c r="E869" s="26"/>
      <c r="F869" s="26"/>
      <c r="G869" s="26"/>
      <c r="H869" s="26"/>
      <c r="I869" s="26"/>
      <c r="J869" s="26"/>
      <c r="L869" s="45"/>
      <c r="M869" s="45"/>
      <c r="N869" s="137"/>
      <c r="O869" s="137"/>
    </row>
    <row r="870" customHeight="1" spans="3:15">
      <c r="C870" s="12"/>
      <c r="D870" s="12"/>
      <c r="E870" s="26"/>
      <c r="F870" s="26"/>
      <c r="G870" s="26"/>
      <c r="H870" s="26"/>
      <c r="I870" s="26"/>
      <c r="J870" s="26"/>
      <c r="L870" s="45"/>
      <c r="M870" s="45"/>
      <c r="N870" s="137"/>
      <c r="O870" s="137"/>
    </row>
    <row r="871" customHeight="1" spans="3:15">
      <c r="C871" s="12"/>
      <c r="D871" s="12"/>
      <c r="E871" s="26"/>
      <c r="F871" s="26"/>
      <c r="G871" s="26"/>
      <c r="H871" s="26"/>
      <c r="I871" s="26"/>
      <c r="J871" s="26"/>
      <c r="L871" s="45"/>
      <c r="M871" s="45"/>
      <c r="N871" s="137"/>
      <c r="O871" s="137"/>
    </row>
    <row r="872" customHeight="1" spans="3:15">
      <c r="C872" s="12"/>
      <c r="D872" s="12"/>
      <c r="E872" s="26"/>
      <c r="F872" s="26"/>
      <c r="G872" s="26"/>
      <c r="H872" s="26"/>
      <c r="I872" s="26"/>
      <c r="J872" s="26"/>
      <c r="L872" s="45"/>
      <c r="M872" s="45"/>
      <c r="N872" s="137"/>
      <c r="O872" s="137"/>
    </row>
    <row r="873" customHeight="1" spans="3:15">
      <c r="C873" s="12"/>
      <c r="D873" s="12"/>
      <c r="E873" s="26"/>
      <c r="F873" s="26"/>
      <c r="G873" s="26"/>
      <c r="H873" s="26"/>
      <c r="I873" s="26"/>
      <c r="J873" s="26"/>
      <c r="L873" s="45"/>
      <c r="M873" s="45"/>
      <c r="N873" s="137"/>
      <c r="O873" s="137"/>
    </row>
    <row r="874" customHeight="1" spans="3:15">
      <c r="C874" s="12"/>
      <c r="D874" s="12"/>
      <c r="E874" s="26"/>
      <c r="F874" s="26"/>
      <c r="G874" s="26"/>
      <c r="H874" s="26"/>
      <c r="I874" s="26"/>
      <c r="J874" s="26"/>
      <c r="L874" s="45"/>
      <c r="M874" s="45"/>
      <c r="N874" s="137"/>
      <c r="O874" s="137"/>
    </row>
    <row r="875" customHeight="1" spans="3:15">
      <c r="C875" s="12"/>
      <c r="D875" s="12"/>
      <c r="E875" s="26"/>
      <c r="F875" s="26"/>
      <c r="G875" s="26"/>
      <c r="H875" s="26"/>
      <c r="I875" s="26"/>
      <c r="J875" s="26"/>
      <c r="L875" s="45"/>
      <c r="M875" s="45"/>
      <c r="N875" s="137"/>
      <c r="O875" s="137"/>
    </row>
    <row r="876" customHeight="1" spans="3:15">
      <c r="C876" s="12"/>
      <c r="D876" s="12"/>
      <c r="E876" s="26"/>
      <c r="F876" s="26"/>
      <c r="G876" s="26"/>
      <c r="H876" s="26"/>
      <c r="I876" s="26"/>
      <c r="J876" s="26"/>
      <c r="L876" s="45"/>
      <c r="M876" s="45"/>
      <c r="N876" s="137"/>
      <c r="O876" s="137"/>
    </row>
    <row r="877" customHeight="1" spans="3:15">
      <c r="C877" s="12"/>
      <c r="D877" s="12"/>
      <c r="E877" s="26"/>
      <c r="F877" s="26"/>
      <c r="G877" s="26"/>
      <c r="H877" s="26"/>
      <c r="I877" s="26"/>
      <c r="J877" s="26"/>
      <c r="L877" s="45"/>
      <c r="M877" s="45"/>
      <c r="N877" s="137"/>
      <c r="O877" s="137"/>
    </row>
    <row r="878" customHeight="1" spans="3:15">
      <c r="C878" s="12"/>
      <c r="D878" s="12"/>
      <c r="E878" s="26"/>
      <c r="F878" s="26"/>
      <c r="G878" s="26"/>
      <c r="H878" s="26"/>
      <c r="I878" s="26"/>
      <c r="J878" s="26"/>
      <c r="L878" s="45"/>
      <c r="M878" s="45"/>
      <c r="N878" s="137"/>
      <c r="O878" s="137"/>
    </row>
    <row r="879" customHeight="1" spans="3:15">
      <c r="C879" s="12"/>
      <c r="D879" s="12"/>
      <c r="E879" s="26"/>
      <c r="F879" s="26"/>
      <c r="G879" s="26"/>
      <c r="H879" s="26"/>
      <c r="I879" s="26"/>
      <c r="J879" s="26"/>
      <c r="L879" s="45"/>
      <c r="M879" s="45"/>
      <c r="N879" s="137"/>
      <c r="O879" s="137"/>
    </row>
    <row r="880" customHeight="1" spans="3:15">
      <c r="C880" s="12"/>
      <c r="D880" s="12"/>
      <c r="E880" s="26"/>
      <c r="F880" s="26"/>
      <c r="G880" s="26"/>
      <c r="H880" s="26"/>
      <c r="I880" s="26"/>
      <c r="J880" s="26"/>
      <c r="L880" s="45"/>
      <c r="M880" s="45"/>
      <c r="N880" s="137"/>
      <c r="O880" s="137"/>
    </row>
    <row r="881" customHeight="1" spans="3:15">
      <c r="C881" s="12"/>
      <c r="D881" s="12"/>
      <c r="E881" s="26"/>
      <c r="F881" s="26"/>
      <c r="G881" s="26"/>
      <c r="H881" s="26"/>
      <c r="I881" s="26"/>
      <c r="J881" s="26"/>
      <c r="L881" s="45"/>
      <c r="M881" s="45"/>
      <c r="N881" s="137"/>
      <c r="O881" s="137"/>
    </row>
    <row r="882" customHeight="1" spans="3:15">
      <c r="C882" s="12"/>
      <c r="D882" s="12"/>
      <c r="E882" s="26"/>
      <c r="F882" s="26"/>
      <c r="G882" s="26"/>
      <c r="H882" s="26"/>
      <c r="I882" s="26"/>
      <c r="J882" s="26"/>
      <c r="L882" s="45"/>
      <c r="M882" s="45"/>
      <c r="N882" s="137"/>
      <c r="O882" s="137"/>
    </row>
    <row r="883" customHeight="1" spans="3:15">
      <c r="C883" s="12"/>
      <c r="D883" s="12"/>
      <c r="E883" s="26"/>
      <c r="F883" s="26"/>
      <c r="G883" s="26"/>
      <c r="H883" s="26"/>
      <c r="I883" s="26"/>
      <c r="J883" s="26"/>
      <c r="L883" s="45"/>
      <c r="M883" s="45"/>
      <c r="N883" s="137"/>
      <c r="O883" s="137"/>
    </row>
    <row r="884" customHeight="1" spans="3:15">
      <c r="C884" s="12"/>
      <c r="D884" s="12"/>
      <c r="E884" s="26"/>
      <c r="F884" s="26"/>
      <c r="G884" s="26"/>
      <c r="H884" s="26"/>
      <c r="I884" s="26"/>
      <c r="J884" s="26"/>
      <c r="L884" s="45"/>
      <c r="M884" s="45"/>
      <c r="N884" s="137"/>
      <c r="O884" s="137"/>
    </row>
    <row r="885" customHeight="1" spans="3:15">
      <c r="C885" s="12"/>
      <c r="D885" s="12"/>
      <c r="E885" s="26"/>
      <c r="F885" s="26"/>
      <c r="G885" s="26"/>
      <c r="H885" s="26"/>
      <c r="I885" s="26"/>
      <c r="J885" s="26"/>
      <c r="L885" s="45"/>
      <c r="M885" s="45"/>
      <c r="N885" s="137"/>
      <c r="O885" s="137"/>
    </row>
    <row r="886" customHeight="1" spans="3:15">
      <c r="C886" s="12"/>
      <c r="D886" s="12"/>
      <c r="E886" s="26"/>
      <c r="F886" s="26"/>
      <c r="G886" s="26"/>
      <c r="H886" s="26"/>
      <c r="I886" s="26"/>
      <c r="J886" s="26"/>
      <c r="L886" s="45"/>
      <c r="M886" s="45"/>
      <c r="N886" s="137"/>
      <c r="O886" s="137"/>
    </row>
    <row r="887" customHeight="1" spans="3:15">
      <c r="C887" s="12"/>
      <c r="D887" s="12"/>
      <c r="E887" s="26"/>
      <c r="F887" s="26"/>
      <c r="G887" s="26"/>
      <c r="H887" s="26"/>
      <c r="I887" s="26"/>
      <c r="J887" s="26"/>
      <c r="L887" s="45"/>
      <c r="M887" s="45"/>
      <c r="N887" s="137"/>
      <c r="O887" s="137"/>
    </row>
    <row r="888" customHeight="1" spans="3:15">
      <c r="C888" s="12"/>
      <c r="D888" s="12"/>
      <c r="E888" s="26"/>
      <c r="F888" s="26"/>
      <c r="G888" s="26"/>
      <c r="H888" s="26"/>
      <c r="I888" s="26"/>
      <c r="J888" s="26"/>
      <c r="L888" s="45"/>
      <c r="M888" s="45"/>
      <c r="N888" s="137"/>
      <c r="O888" s="137"/>
    </row>
    <row r="889" customHeight="1" spans="3:15">
      <c r="C889" s="12"/>
      <c r="D889" s="12"/>
      <c r="E889" s="26"/>
      <c r="F889" s="26"/>
      <c r="G889" s="26"/>
      <c r="H889" s="26"/>
      <c r="I889" s="26"/>
      <c r="J889" s="26"/>
      <c r="L889" s="45"/>
      <c r="M889" s="45"/>
      <c r="N889" s="137"/>
      <c r="O889" s="137"/>
    </row>
    <row r="890" customHeight="1" spans="3:15">
      <c r="C890" s="12"/>
      <c r="D890" s="12"/>
      <c r="E890" s="26"/>
      <c r="F890" s="26"/>
      <c r="G890" s="26"/>
      <c r="H890" s="26"/>
      <c r="I890" s="26"/>
      <c r="J890" s="26"/>
      <c r="L890" s="45"/>
      <c r="M890" s="45"/>
      <c r="N890" s="137"/>
      <c r="O890" s="137"/>
    </row>
    <row r="891" customHeight="1" spans="3:15">
      <c r="C891" s="12"/>
      <c r="D891" s="12"/>
      <c r="E891" s="26"/>
      <c r="F891" s="26"/>
      <c r="G891" s="26"/>
      <c r="H891" s="26"/>
      <c r="I891" s="26"/>
      <c r="J891" s="26"/>
      <c r="L891" s="45"/>
      <c r="M891" s="45"/>
      <c r="N891" s="137"/>
      <c r="O891" s="137"/>
    </row>
    <row r="892" customHeight="1" spans="3:15">
      <c r="C892" s="12"/>
      <c r="D892" s="12"/>
      <c r="E892" s="26"/>
      <c r="F892" s="26"/>
      <c r="G892" s="26"/>
      <c r="H892" s="26"/>
      <c r="I892" s="26"/>
      <c r="J892" s="26"/>
      <c r="L892" s="45"/>
      <c r="M892" s="45"/>
      <c r="N892" s="137"/>
      <c r="O892" s="137"/>
    </row>
    <row r="893" customHeight="1" spans="3:15">
      <c r="C893" s="12"/>
      <c r="D893" s="12"/>
      <c r="E893" s="26"/>
      <c r="F893" s="26"/>
      <c r="G893" s="26"/>
      <c r="H893" s="26"/>
      <c r="I893" s="26"/>
      <c r="J893" s="26"/>
      <c r="L893" s="45"/>
      <c r="M893" s="45"/>
      <c r="N893" s="137"/>
      <c r="O893" s="137"/>
    </row>
    <row r="894" customHeight="1" spans="3:15">
      <c r="C894" s="12"/>
      <c r="D894" s="12"/>
      <c r="E894" s="26"/>
      <c r="F894" s="26"/>
      <c r="G894" s="26"/>
      <c r="H894" s="26"/>
      <c r="I894" s="26"/>
      <c r="J894" s="26"/>
      <c r="L894" s="45"/>
      <c r="M894" s="45"/>
      <c r="N894" s="137"/>
      <c r="O894" s="137"/>
    </row>
    <row r="895" customHeight="1" spans="3:15">
      <c r="C895" s="12"/>
      <c r="D895" s="12"/>
      <c r="E895" s="26"/>
      <c r="F895" s="26"/>
      <c r="G895" s="26"/>
      <c r="H895" s="26"/>
      <c r="I895" s="26"/>
      <c r="J895" s="26"/>
      <c r="L895" s="45"/>
      <c r="M895" s="45"/>
      <c r="N895" s="137"/>
      <c r="O895" s="137"/>
    </row>
    <row r="896" customHeight="1" spans="3:15">
      <c r="C896" s="12"/>
      <c r="D896" s="12"/>
      <c r="E896" s="26"/>
      <c r="F896" s="26"/>
      <c r="G896" s="26"/>
      <c r="H896" s="26"/>
      <c r="I896" s="26"/>
      <c r="J896" s="26"/>
      <c r="L896" s="45"/>
      <c r="M896" s="45"/>
      <c r="N896" s="137"/>
      <c r="O896" s="137"/>
    </row>
    <row r="897" customHeight="1" spans="3:15">
      <c r="C897" s="12"/>
      <c r="D897" s="12"/>
      <c r="E897" s="26"/>
      <c r="F897" s="26"/>
      <c r="G897" s="26"/>
      <c r="H897" s="26"/>
      <c r="I897" s="26"/>
      <c r="J897" s="26"/>
      <c r="L897" s="45"/>
      <c r="M897" s="45"/>
      <c r="N897" s="137"/>
      <c r="O897" s="137"/>
    </row>
    <row r="898" customHeight="1" spans="3:15">
      <c r="C898" s="12"/>
      <c r="D898" s="12"/>
      <c r="E898" s="26"/>
      <c r="F898" s="26"/>
      <c r="G898" s="26"/>
      <c r="H898" s="26"/>
      <c r="I898" s="26"/>
      <c r="J898" s="26"/>
      <c r="L898" s="45"/>
      <c r="M898" s="45"/>
      <c r="N898" s="137"/>
      <c r="O898" s="137"/>
    </row>
    <row r="899" customHeight="1" spans="3:15">
      <c r="C899" s="12"/>
      <c r="D899" s="12"/>
      <c r="E899" s="26"/>
      <c r="F899" s="26"/>
      <c r="G899" s="26"/>
      <c r="H899" s="26"/>
      <c r="I899" s="26"/>
      <c r="J899" s="26"/>
      <c r="L899" s="45"/>
      <c r="M899" s="45"/>
      <c r="N899" s="137"/>
      <c r="O899" s="137"/>
    </row>
    <row r="900" customHeight="1" spans="3:15">
      <c r="C900" s="12"/>
      <c r="D900" s="12"/>
      <c r="E900" s="26"/>
      <c r="F900" s="26"/>
      <c r="G900" s="26"/>
      <c r="H900" s="26"/>
      <c r="I900" s="26"/>
      <c r="J900" s="26"/>
      <c r="L900" s="45"/>
      <c r="M900" s="45"/>
      <c r="N900" s="137"/>
      <c r="O900" s="137"/>
    </row>
    <row r="901" customHeight="1" spans="3:15">
      <c r="C901" s="12"/>
      <c r="D901" s="12"/>
      <c r="E901" s="26"/>
      <c r="F901" s="26"/>
      <c r="G901" s="26"/>
      <c r="H901" s="26"/>
      <c r="I901" s="26"/>
      <c r="J901" s="26"/>
      <c r="L901" s="45"/>
      <c r="M901" s="45"/>
      <c r="N901" s="137"/>
      <c r="O901" s="137"/>
    </row>
    <row r="902" customHeight="1" spans="3:15">
      <c r="C902" s="12"/>
      <c r="D902" s="12"/>
      <c r="E902" s="26"/>
      <c r="F902" s="26"/>
      <c r="G902" s="26"/>
      <c r="H902" s="26"/>
      <c r="I902" s="26"/>
      <c r="J902" s="26"/>
      <c r="L902" s="45"/>
      <c r="M902" s="45"/>
      <c r="N902" s="137"/>
      <c r="O902" s="137"/>
    </row>
    <row r="903" customHeight="1" spans="3:15">
      <c r="C903" s="12"/>
      <c r="D903" s="12"/>
      <c r="E903" s="26"/>
      <c r="F903" s="26"/>
      <c r="G903" s="26"/>
      <c r="H903" s="26"/>
      <c r="I903" s="26"/>
      <c r="J903" s="26"/>
      <c r="L903" s="45"/>
      <c r="M903" s="45"/>
      <c r="N903" s="137"/>
      <c r="O903" s="137"/>
    </row>
    <row r="904" customHeight="1" spans="3:15">
      <c r="C904" s="12"/>
      <c r="D904" s="12"/>
      <c r="E904" s="26"/>
      <c r="F904" s="26"/>
      <c r="G904" s="26"/>
      <c r="H904" s="26"/>
      <c r="I904" s="26"/>
      <c r="J904" s="26"/>
      <c r="L904" s="45"/>
      <c r="M904" s="45"/>
      <c r="N904" s="137"/>
      <c r="O904" s="137"/>
    </row>
    <row r="905" customHeight="1" spans="3:15">
      <c r="C905" s="12"/>
      <c r="D905" s="12"/>
      <c r="E905" s="26"/>
      <c r="F905" s="26"/>
      <c r="G905" s="26"/>
      <c r="H905" s="26"/>
      <c r="I905" s="26"/>
      <c r="J905" s="26"/>
      <c r="L905" s="45"/>
      <c r="M905" s="45"/>
      <c r="N905" s="137"/>
      <c r="O905" s="137"/>
    </row>
    <row r="906" customHeight="1" spans="3:15">
      <c r="C906" s="12"/>
      <c r="D906" s="12"/>
      <c r="E906" s="26"/>
      <c r="F906" s="26"/>
      <c r="G906" s="26"/>
      <c r="H906" s="26"/>
      <c r="I906" s="26"/>
      <c r="J906" s="26"/>
      <c r="L906" s="45"/>
      <c r="M906" s="45"/>
      <c r="N906" s="137"/>
      <c r="O906" s="137"/>
    </row>
    <row r="907" customHeight="1" spans="3:15">
      <c r="C907" s="12"/>
      <c r="D907" s="12"/>
      <c r="E907" s="26"/>
      <c r="F907" s="26"/>
      <c r="G907" s="26"/>
      <c r="H907" s="26"/>
      <c r="I907" s="26"/>
      <c r="J907" s="26"/>
      <c r="L907" s="45"/>
      <c r="M907" s="45"/>
      <c r="N907" s="137"/>
      <c r="O907" s="137"/>
    </row>
    <row r="908" customHeight="1" spans="3:15">
      <c r="C908" s="12"/>
      <c r="D908" s="12"/>
      <c r="E908" s="26"/>
      <c r="F908" s="26"/>
      <c r="G908" s="26"/>
      <c r="H908" s="26"/>
      <c r="I908" s="26"/>
      <c r="J908" s="26"/>
      <c r="L908" s="45"/>
      <c r="M908" s="45"/>
      <c r="N908" s="137"/>
      <c r="O908" s="137"/>
    </row>
    <row r="909" customHeight="1" spans="3:15">
      <c r="C909" s="12"/>
      <c r="D909" s="12"/>
      <c r="E909" s="26"/>
      <c r="F909" s="26"/>
      <c r="G909" s="26"/>
      <c r="H909" s="26"/>
      <c r="I909" s="26"/>
      <c r="J909" s="26"/>
      <c r="L909" s="45"/>
      <c r="M909" s="45"/>
      <c r="N909" s="137"/>
      <c r="O909" s="137"/>
    </row>
    <row r="910" customHeight="1" spans="3:15">
      <c r="C910" s="12"/>
      <c r="D910" s="12"/>
      <c r="E910" s="26"/>
      <c r="F910" s="26"/>
      <c r="G910" s="26"/>
      <c r="H910" s="26"/>
      <c r="I910" s="26"/>
      <c r="J910" s="26"/>
      <c r="L910" s="45"/>
      <c r="M910" s="45"/>
      <c r="N910" s="137"/>
      <c r="O910" s="137"/>
    </row>
    <row r="911" customHeight="1" spans="3:15">
      <c r="C911" s="12"/>
      <c r="D911" s="12"/>
      <c r="E911" s="26"/>
      <c r="F911" s="26"/>
      <c r="G911" s="26"/>
      <c r="H911" s="26"/>
      <c r="I911" s="26"/>
      <c r="J911" s="26"/>
      <c r="L911" s="45"/>
      <c r="M911" s="45"/>
      <c r="N911" s="137"/>
      <c r="O911" s="137"/>
    </row>
    <row r="912" customHeight="1" spans="3:15">
      <c r="C912" s="12"/>
      <c r="D912" s="12"/>
      <c r="E912" s="26"/>
      <c r="F912" s="26"/>
      <c r="G912" s="26"/>
      <c r="H912" s="26"/>
      <c r="I912" s="26"/>
      <c r="J912" s="26"/>
      <c r="L912" s="45"/>
      <c r="M912" s="45"/>
      <c r="N912" s="137"/>
      <c r="O912" s="137"/>
    </row>
    <row r="913" customHeight="1" spans="3:15">
      <c r="C913" s="12"/>
      <c r="D913" s="12"/>
      <c r="E913" s="26"/>
      <c r="F913" s="26"/>
      <c r="G913" s="26"/>
      <c r="H913" s="26"/>
      <c r="I913" s="26"/>
      <c r="J913" s="26"/>
      <c r="L913" s="45"/>
      <c r="M913" s="45"/>
      <c r="N913" s="137"/>
      <c r="O913" s="137"/>
    </row>
    <row r="914" customHeight="1" spans="3:15">
      <c r="C914" s="12"/>
      <c r="D914" s="12"/>
      <c r="E914" s="26"/>
      <c r="F914" s="26"/>
      <c r="G914" s="26"/>
      <c r="H914" s="26"/>
      <c r="I914" s="26"/>
      <c r="J914" s="26"/>
      <c r="L914" s="45"/>
      <c r="M914" s="45"/>
      <c r="N914" s="137"/>
      <c r="O914" s="137"/>
    </row>
    <row r="915" customHeight="1" spans="3:15">
      <c r="C915" s="12"/>
      <c r="D915" s="12"/>
      <c r="E915" s="26"/>
      <c r="F915" s="26"/>
      <c r="G915" s="26"/>
      <c r="H915" s="26"/>
      <c r="I915" s="26"/>
      <c r="J915" s="26"/>
      <c r="L915" s="45"/>
      <c r="M915" s="45"/>
      <c r="N915" s="137"/>
      <c r="O915" s="137"/>
    </row>
    <row r="916" customHeight="1" spans="3:15">
      <c r="C916" s="12"/>
      <c r="D916" s="12"/>
      <c r="E916" s="26"/>
      <c r="F916" s="26"/>
      <c r="G916" s="26"/>
      <c r="H916" s="26"/>
      <c r="I916" s="26"/>
      <c r="J916" s="26"/>
      <c r="L916" s="45"/>
      <c r="M916" s="45"/>
      <c r="N916" s="137"/>
      <c r="O916" s="137"/>
    </row>
    <row r="917" customHeight="1" spans="3:15">
      <c r="C917" s="12"/>
      <c r="D917" s="12"/>
      <c r="E917" s="26"/>
      <c r="F917" s="26"/>
      <c r="G917" s="26"/>
      <c r="H917" s="26"/>
      <c r="I917" s="26"/>
      <c r="J917" s="26"/>
      <c r="L917" s="45"/>
      <c r="M917" s="45"/>
      <c r="N917" s="137"/>
      <c r="O917" s="137"/>
    </row>
    <row r="918" customHeight="1" spans="3:15">
      <c r="C918" s="12"/>
      <c r="D918" s="12"/>
      <c r="E918" s="26"/>
      <c r="F918" s="26"/>
      <c r="G918" s="26"/>
      <c r="H918" s="26"/>
      <c r="I918" s="26"/>
      <c r="J918" s="26"/>
      <c r="L918" s="45"/>
      <c r="M918" s="45"/>
      <c r="N918" s="137"/>
      <c r="O918" s="137"/>
    </row>
    <row r="919" customHeight="1" spans="3:15">
      <c r="C919" s="12"/>
      <c r="D919" s="12"/>
      <c r="E919" s="26"/>
      <c r="F919" s="26"/>
      <c r="G919" s="26"/>
      <c r="H919" s="26"/>
      <c r="I919" s="26"/>
      <c r="J919" s="26"/>
      <c r="L919" s="45"/>
      <c r="M919" s="45"/>
      <c r="N919" s="137"/>
      <c r="O919" s="137"/>
    </row>
    <row r="920" customHeight="1" spans="3:15">
      <c r="C920" s="12"/>
      <c r="D920" s="12"/>
      <c r="E920" s="26"/>
      <c r="F920" s="26"/>
      <c r="G920" s="26"/>
      <c r="H920" s="26"/>
      <c r="I920" s="26"/>
      <c r="J920" s="26"/>
      <c r="L920" s="45"/>
      <c r="M920" s="45"/>
      <c r="N920" s="137"/>
      <c r="O920" s="137"/>
    </row>
    <row r="921" customHeight="1" spans="3:15">
      <c r="C921" s="12"/>
      <c r="D921" s="12"/>
      <c r="E921" s="26"/>
      <c r="F921" s="26"/>
      <c r="G921" s="26"/>
      <c r="H921" s="26"/>
      <c r="I921" s="26"/>
      <c r="J921" s="26"/>
      <c r="L921" s="45"/>
      <c r="M921" s="45"/>
      <c r="N921" s="137"/>
      <c r="O921" s="137"/>
    </row>
    <row r="922" customHeight="1" spans="3:15">
      <c r="C922" s="12"/>
      <c r="D922" s="12"/>
      <c r="E922" s="26"/>
      <c r="F922" s="26"/>
      <c r="G922" s="26"/>
      <c r="H922" s="26"/>
      <c r="I922" s="26"/>
      <c r="J922" s="26"/>
      <c r="L922" s="45"/>
      <c r="M922" s="45"/>
      <c r="N922" s="137"/>
      <c r="O922" s="137"/>
    </row>
    <row r="923" customHeight="1" spans="3:15">
      <c r="C923" s="12"/>
      <c r="D923" s="12"/>
      <c r="E923" s="26"/>
      <c r="F923" s="26"/>
      <c r="G923" s="26"/>
      <c r="H923" s="26"/>
      <c r="I923" s="26"/>
      <c r="J923" s="26"/>
      <c r="L923" s="45"/>
      <c r="M923" s="45"/>
      <c r="N923" s="137"/>
      <c r="O923" s="137"/>
    </row>
    <row r="924" customHeight="1" spans="3:15">
      <c r="C924" s="12"/>
      <c r="D924" s="12"/>
      <c r="E924" s="26"/>
      <c r="F924" s="26"/>
      <c r="G924" s="26"/>
      <c r="H924" s="26"/>
      <c r="I924" s="26"/>
      <c r="J924" s="26"/>
      <c r="L924" s="45"/>
      <c r="M924" s="45"/>
      <c r="N924" s="137"/>
      <c r="O924" s="137"/>
    </row>
    <row r="925" customHeight="1" spans="3:15">
      <c r="C925" s="12"/>
      <c r="D925" s="12"/>
      <c r="E925" s="26"/>
      <c r="F925" s="26"/>
      <c r="G925" s="26"/>
      <c r="H925" s="26"/>
      <c r="I925" s="26"/>
      <c r="J925" s="26"/>
      <c r="L925" s="45"/>
      <c r="M925" s="45"/>
      <c r="N925" s="137"/>
      <c r="O925" s="137"/>
    </row>
    <row r="926" customHeight="1" spans="3:15">
      <c r="C926" s="12"/>
      <c r="D926" s="12"/>
      <c r="E926" s="26"/>
      <c r="F926" s="26"/>
      <c r="G926" s="26"/>
      <c r="H926" s="26"/>
      <c r="I926" s="26"/>
      <c r="J926" s="26"/>
      <c r="L926" s="45"/>
      <c r="M926" s="45"/>
      <c r="N926" s="137"/>
      <c r="O926" s="137"/>
    </row>
    <row r="927" customHeight="1" spans="3:15">
      <c r="C927" s="12"/>
      <c r="D927" s="12"/>
      <c r="E927" s="26"/>
      <c r="F927" s="26"/>
      <c r="G927" s="26"/>
      <c r="H927" s="26"/>
      <c r="I927" s="26"/>
      <c r="J927" s="26"/>
      <c r="L927" s="45"/>
      <c r="M927" s="45"/>
      <c r="N927" s="137"/>
      <c r="O927" s="137"/>
    </row>
    <row r="928" customHeight="1" spans="3:15">
      <c r="C928" s="12"/>
      <c r="D928" s="12"/>
      <c r="E928" s="26"/>
      <c r="F928" s="26"/>
      <c r="G928" s="26"/>
      <c r="H928" s="26"/>
      <c r="I928" s="26"/>
      <c r="J928" s="26"/>
      <c r="L928" s="45"/>
      <c r="M928" s="45"/>
      <c r="N928" s="137"/>
      <c r="O928" s="137"/>
    </row>
    <row r="929" customHeight="1" spans="3:15">
      <c r="C929" s="12"/>
      <c r="D929" s="12"/>
      <c r="E929" s="26"/>
      <c r="F929" s="26"/>
      <c r="G929" s="26"/>
      <c r="H929" s="26"/>
      <c r="I929" s="26"/>
      <c r="J929" s="26"/>
      <c r="L929" s="45"/>
      <c r="M929" s="45"/>
      <c r="N929" s="137"/>
      <c r="O929" s="137"/>
    </row>
    <row r="930" customHeight="1" spans="3:15">
      <c r="C930" s="12"/>
      <c r="D930" s="12"/>
      <c r="E930" s="26"/>
      <c r="F930" s="26"/>
      <c r="G930" s="26"/>
      <c r="H930" s="26"/>
      <c r="I930" s="26"/>
      <c r="J930" s="26"/>
      <c r="L930" s="45"/>
      <c r="M930" s="45"/>
      <c r="N930" s="137"/>
      <c r="O930" s="137"/>
    </row>
    <row r="931" customHeight="1" spans="3:15">
      <c r="C931" s="12"/>
      <c r="D931" s="12"/>
      <c r="E931" s="26"/>
      <c r="F931" s="26"/>
      <c r="G931" s="26"/>
      <c r="H931" s="26"/>
      <c r="I931" s="26"/>
      <c r="J931" s="26"/>
      <c r="L931" s="45"/>
      <c r="M931" s="45"/>
      <c r="N931" s="137"/>
      <c r="O931" s="137"/>
    </row>
    <row r="932" customHeight="1" spans="3:15">
      <c r="C932" s="12"/>
      <c r="D932" s="12"/>
      <c r="E932" s="26"/>
      <c r="F932" s="26"/>
      <c r="G932" s="26"/>
      <c r="H932" s="26"/>
      <c r="I932" s="26"/>
      <c r="J932" s="26"/>
      <c r="L932" s="45"/>
      <c r="M932" s="45"/>
      <c r="N932" s="137"/>
      <c r="O932" s="137"/>
    </row>
    <row r="933" customHeight="1" spans="3:15">
      <c r="C933" s="12"/>
      <c r="D933" s="12"/>
      <c r="E933" s="26"/>
      <c r="F933" s="26"/>
      <c r="G933" s="26"/>
      <c r="H933" s="26"/>
      <c r="I933" s="26"/>
      <c r="J933" s="26"/>
      <c r="L933" s="45"/>
      <c r="M933" s="45"/>
      <c r="N933" s="137"/>
      <c r="O933" s="137"/>
    </row>
    <row r="934" customHeight="1" spans="3:15">
      <c r="C934" s="12"/>
      <c r="D934" s="12"/>
      <c r="E934" s="26"/>
      <c r="F934" s="26"/>
      <c r="G934" s="26"/>
      <c r="H934" s="26"/>
      <c r="I934" s="26"/>
      <c r="J934" s="26"/>
      <c r="L934" s="45"/>
      <c r="M934" s="45"/>
      <c r="N934" s="137"/>
      <c r="O934" s="137"/>
    </row>
    <row r="935" customHeight="1" spans="3:15">
      <c r="C935" s="12"/>
      <c r="D935" s="12"/>
      <c r="E935" s="26"/>
      <c r="F935" s="26"/>
      <c r="G935" s="26"/>
      <c r="H935" s="26"/>
      <c r="I935" s="26"/>
      <c r="J935" s="26"/>
      <c r="L935" s="45"/>
      <c r="M935" s="45"/>
      <c r="N935" s="137"/>
      <c r="O935" s="137"/>
    </row>
    <row r="936" customHeight="1" spans="3:15">
      <c r="C936" s="12"/>
      <c r="D936" s="12"/>
      <c r="E936" s="26"/>
      <c r="F936" s="26"/>
      <c r="G936" s="26"/>
      <c r="H936" s="26"/>
      <c r="I936" s="26"/>
      <c r="J936" s="26"/>
      <c r="L936" s="45"/>
      <c r="M936" s="45"/>
      <c r="N936" s="137"/>
      <c r="O936" s="137"/>
    </row>
    <row r="937" customHeight="1" spans="3:15">
      <c r="C937" s="12"/>
      <c r="D937" s="12"/>
      <c r="E937" s="26"/>
      <c r="F937" s="26"/>
      <c r="G937" s="26"/>
      <c r="H937" s="26"/>
      <c r="I937" s="26"/>
      <c r="J937" s="26"/>
      <c r="L937" s="45"/>
      <c r="M937" s="45"/>
      <c r="N937" s="137"/>
      <c r="O937" s="137"/>
    </row>
    <row r="938" customHeight="1" spans="3:15">
      <c r="C938" s="12"/>
      <c r="D938" s="12"/>
      <c r="E938" s="26"/>
      <c r="F938" s="26"/>
      <c r="G938" s="26"/>
      <c r="H938" s="26"/>
      <c r="I938" s="26"/>
      <c r="J938" s="26"/>
      <c r="L938" s="45"/>
      <c r="M938" s="45"/>
      <c r="N938" s="137"/>
      <c r="O938" s="137"/>
    </row>
    <row r="939" customHeight="1" spans="3:15">
      <c r="C939" s="12"/>
      <c r="D939" s="12"/>
      <c r="E939" s="26"/>
      <c r="F939" s="26"/>
      <c r="G939" s="26"/>
      <c r="H939" s="26"/>
      <c r="I939" s="26"/>
      <c r="J939" s="26"/>
      <c r="L939" s="45"/>
      <c r="M939" s="45"/>
      <c r="N939" s="137"/>
      <c r="O939" s="137"/>
    </row>
    <row r="940" customHeight="1" spans="3:15">
      <c r="C940" s="12"/>
      <c r="D940" s="12"/>
      <c r="E940" s="26"/>
      <c r="F940" s="26"/>
      <c r="G940" s="26"/>
      <c r="H940" s="26"/>
      <c r="I940" s="26"/>
      <c r="J940" s="26"/>
      <c r="L940" s="45"/>
      <c r="M940" s="45"/>
      <c r="N940" s="137"/>
      <c r="O940" s="137"/>
    </row>
    <row r="941" customHeight="1" spans="3:15">
      <c r="C941" s="12"/>
      <c r="D941" s="12"/>
      <c r="E941" s="26"/>
      <c r="F941" s="26"/>
      <c r="G941" s="26"/>
      <c r="H941" s="26"/>
      <c r="I941" s="26"/>
      <c r="J941" s="26"/>
      <c r="L941" s="45"/>
      <c r="M941" s="45"/>
      <c r="N941" s="137"/>
      <c r="O941" s="137"/>
    </row>
    <row r="942" customHeight="1" spans="3:15">
      <c r="C942" s="12"/>
      <c r="D942" s="12"/>
      <c r="E942" s="26"/>
      <c r="F942" s="26"/>
      <c r="G942" s="26"/>
      <c r="H942" s="26"/>
      <c r="I942" s="26"/>
      <c r="J942" s="26"/>
      <c r="L942" s="45"/>
      <c r="M942" s="45"/>
      <c r="N942" s="137"/>
      <c r="O942" s="137"/>
    </row>
    <row r="943" customHeight="1" spans="3:15">
      <c r="C943" s="12"/>
      <c r="D943" s="12"/>
      <c r="E943" s="26"/>
      <c r="F943" s="26"/>
      <c r="G943" s="26"/>
      <c r="H943" s="26"/>
      <c r="I943" s="26"/>
      <c r="J943" s="26"/>
      <c r="L943" s="45"/>
      <c r="M943" s="45"/>
      <c r="N943" s="137"/>
      <c r="O943" s="137"/>
    </row>
    <row r="944" customHeight="1" spans="3:15">
      <c r="C944" s="12"/>
      <c r="D944" s="12"/>
      <c r="E944" s="26"/>
      <c r="F944" s="26"/>
      <c r="G944" s="26"/>
      <c r="H944" s="26"/>
      <c r="I944" s="26"/>
      <c r="J944" s="26"/>
      <c r="L944" s="45"/>
      <c r="M944" s="45"/>
      <c r="N944" s="137"/>
      <c r="O944" s="137"/>
    </row>
    <row r="945" customHeight="1" spans="3:15">
      <c r="C945" s="12"/>
      <c r="D945" s="12"/>
      <c r="E945" s="26"/>
      <c r="F945" s="26"/>
      <c r="G945" s="26"/>
      <c r="H945" s="26"/>
      <c r="I945" s="26"/>
      <c r="J945" s="26"/>
      <c r="L945" s="45"/>
      <c r="M945" s="45"/>
      <c r="N945" s="137"/>
      <c r="O945" s="137"/>
    </row>
    <row r="946" customHeight="1" spans="3:15">
      <c r="C946" s="12"/>
      <c r="D946" s="12"/>
      <c r="E946" s="26"/>
      <c r="F946" s="26"/>
      <c r="G946" s="26"/>
      <c r="H946" s="26"/>
      <c r="I946" s="26"/>
      <c r="J946" s="26"/>
      <c r="L946" s="45"/>
      <c r="M946" s="45"/>
      <c r="N946" s="137"/>
      <c r="O946" s="137"/>
    </row>
    <row r="947" customHeight="1" spans="3:15">
      <c r="C947" s="12"/>
      <c r="D947" s="12"/>
      <c r="E947" s="26"/>
      <c r="F947" s="26"/>
      <c r="G947" s="26"/>
      <c r="H947" s="26"/>
      <c r="I947" s="26"/>
      <c r="J947" s="26"/>
      <c r="L947" s="45"/>
      <c r="M947" s="45"/>
      <c r="N947" s="137"/>
      <c r="O947" s="137"/>
    </row>
    <row r="948" customHeight="1" spans="3:15">
      <c r="C948" s="12"/>
      <c r="D948" s="12"/>
      <c r="E948" s="26"/>
      <c r="F948" s="26"/>
      <c r="G948" s="26"/>
      <c r="H948" s="26"/>
      <c r="I948" s="26"/>
      <c r="J948" s="26"/>
      <c r="L948" s="45"/>
      <c r="M948" s="45"/>
      <c r="N948" s="137"/>
      <c r="O948" s="137"/>
    </row>
    <row r="949" customHeight="1" spans="3:15">
      <c r="C949" s="12"/>
      <c r="D949" s="12"/>
      <c r="E949" s="26"/>
      <c r="F949" s="26"/>
      <c r="G949" s="26"/>
      <c r="H949" s="26"/>
      <c r="I949" s="26"/>
      <c r="J949" s="26"/>
      <c r="L949" s="45"/>
      <c r="M949" s="45"/>
      <c r="N949" s="137"/>
      <c r="O949" s="137"/>
    </row>
    <row r="950" customHeight="1" spans="3:15">
      <c r="C950" s="12"/>
      <c r="D950" s="12"/>
      <c r="E950" s="26"/>
      <c r="F950" s="26"/>
      <c r="G950" s="26"/>
      <c r="H950" s="26"/>
      <c r="I950" s="26"/>
      <c r="J950" s="26"/>
      <c r="L950" s="45"/>
      <c r="M950" s="45"/>
      <c r="N950" s="137"/>
      <c r="O950" s="137"/>
    </row>
    <row r="951" customHeight="1" spans="3:15">
      <c r="C951" s="12"/>
      <c r="D951" s="12"/>
      <c r="E951" s="26"/>
      <c r="F951" s="26"/>
      <c r="G951" s="26"/>
      <c r="H951" s="26"/>
      <c r="I951" s="26"/>
      <c r="J951" s="26"/>
      <c r="L951" s="45"/>
      <c r="M951" s="45"/>
      <c r="N951" s="137"/>
      <c r="O951" s="137"/>
    </row>
    <row r="952" customHeight="1" spans="3:15">
      <c r="C952" s="12"/>
      <c r="D952" s="12"/>
      <c r="E952" s="26"/>
      <c r="F952" s="26"/>
      <c r="G952" s="26"/>
      <c r="H952" s="26"/>
      <c r="I952" s="26"/>
      <c r="J952" s="26"/>
      <c r="L952" s="45"/>
      <c r="M952" s="45"/>
      <c r="N952" s="137"/>
      <c r="O952" s="137"/>
    </row>
    <row r="953" customHeight="1" spans="3:15">
      <c r="C953" s="12"/>
      <c r="D953" s="12"/>
      <c r="E953" s="26"/>
      <c r="F953" s="26"/>
      <c r="G953" s="26"/>
      <c r="H953" s="26"/>
      <c r="I953" s="26"/>
      <c r="J953" s="26"/>
      <c r="L953" s="45"/>
      <c r="M953" s="45"/>
      <c r="N953" s="137"/>
      <c r="O953" s="137"/>
    </row>
    <row r="954" customHeight="1" spans="3:15">
      <c r="C954" s="12"/>
      <c r="D954" s="12"/>
      <c r="E954" s="26"/>
      <c r="F954" s="26"/>
      <c r="G954" s="26"/>
      <c r="H954" s="26"/>
      <c r="I954" s="26"/>
      <c r="J954" s="26"/>
      <c r="L954" s="45"/>
      <c r="M954" s="45"/>
      <c r="N954" s="137"/>
      <c r="O954" s="137"/>
    </row>
    <row r="955" customHeight="1" spans="3:15">
      <c r="C955" s="12"/>
      <c r="D955" s="12"/>
      <c r="E955" s="26"/>
      <c r="F955" s="26"/>
      <c r="G955" s="26"/>
      <c r="H955" s="26"/>
      <c r="I955" s="26"/>
      <c r="J955" s="26"/>
      <c r="L955" s="45"/>
      <c r="M955" s="45"/>
      <c r="N955" s="137"/>
      <c r="O955" s="137"/>
    </row>
    <row r="956" customHeight="1" spans="3:15">
      <c r="C956" s="12"/>
      <c r="D956" s="12"/>
      <c r="E956" s="26"/>
      <c r="F956" s="26"/>
      <c r="G956" s="26"/>
      <c r="H956" s="26"/>
      <c r="I956" s="26"/>
      <c r="J956" s="26"/>
      <c r="L956" s="45"/>
      <c r="M956" s="45"/>
      <c r="N956" s="137"/>
      <c r="O956" s="137"/>
    </row>
    <row r="957" customHeight="1" spans="3:15">
      <c r="C957" s="12"/>
      <c r="D957" s="12"/>
      <c r="E957" s="26"/>
      <c r="F957" s="26"/>
      <c r="G957" s="26"/>
      <c r="H957" s="26"/>
      <c r="I957" s="26"/>
      <c r="J957" s="26"/>
      <c r="L957" s="45"/>
      <c r="M957" s="45"/>
      <c r="N957" s="137"/>
      <c r="O957" s="137"/>
    </row>
    <row r="958" customHeight="1" spans="3:15">
      <c r="C958" s="12"/>
      <c r="D958" s="12"/>
      <c r="E958" s="26"/>
      <c r="F958" s="26"/>
      <c r="G958" s="26"/>
      <c r="H958" s="26"/>
      <c r="I958" s="26"/>
      <c r="J958" s="26"/>
      <c r="L958" s="45"/>
      <c r="M958" s="45"/>
      <c r="N958" s="137"/>
      <c r="O958" s="137"/>
    </row>
    <row r="959" customHeight="1" spans="3:15">
      <c r="C959" s="12"/>
      <c r="D959" s="12"/>
      <c r="E959" s="26"/>
      <c r="F959" s="26"/>
      <c r="G959" s="26"/>
      <c r="H959" s="26"/>
      <c r="I959" s="26"/>
      <c r="J959" s="26"/>
      <c r="L959" s="45"/>
      <c r="M959" s="45"/>
      <c r="N959" s="137"/>
      <c r="O959" s="137"/>
    </row>
    <row r="960" customHeight="1" spans="3:15">
      <c r="C960" s="12"/>
      <c r="D960" s="12"/>
      <c r="E960" s="26"/>
      <c r="F960" s="26"/>
      <c r="G960" s="26"/>
      <c r="H960" s="26"/>
      <c r="I960" s="26"/>
      <c r="J960" s="26"/>
      <c r="L960" s="45"/>
      <c r="M960" s="45"/>
      <c r="N960" s="137"/>
      <c r="O960" s="137"/>
    </row>
    <row r="961" customHeight="1" spans="3:15">
      <c r="C961" s="12"/>
      <c r="D961" s="12"/>
      <c r="E961" s="26"/>
      <c r="F961" s="26"/>
      <c r="G961" s="26"/>
      <c r="H961" s="26"/>
      <c r="I961" s="26"/>
      <c r="J961" s="26"/>
      <c r="L961" s="45"/>
      <c r="M961" s="45"/>
      <c r="N961" s="137"/>
      <c r="O961" s="137"/>
    </row>
    <row r="962" customHeight="1" spans="3:15">
      <c r="C962" s="12"/>
      <c r="D962" s="12"/>
      <c r="E962" s="26"/>
      <c r="F962" s="26"/>
      <c r="G962" s="26"/>
      <c r="H962" s="26"/>
      <c r="I962" s="26"/>
      <c r="J962" s="26"/>
      <c r="L962" s="45"/>
      <c r="M962" s="45"/>
      <c r="N962" s="137"/>
      <c r="O962" s="137"/>
    </row>
    <row r="963" customHeight="1" spans="3:15">
      <c r="C963" s="12"/>
      <c r="D963" s="12"/>
      <c r="E963" s="26"/>
      <c r="F963" s="26"/>
      <c r="G963" s="26"/>
      <c r="H963" s="26"/>
      <c r="I963" s="26"/>
      <c r="J963" s="26"/>
      <c r="L963" s="45"/>
      <c r="M963" s="45"/>
      <c r="N963" s="137"/>
      <c r="O963" s="137"/>
    </row>
    <row r="964" customHeight="1" spans="3:15">
      <c r="C964" s="12"/>
      <c r="D964" s="12"/>
      <c r="E964" s="26"/>
      <c r="F964" s="26"/>
      <c r="G964" s="26"/>
      <c r="H964" s="26"/>
      <c r="I964" s="26"/>
      <c r="J964" s="26"/>
      <c r="L964" s="45"/>
      <c r="M964" s="45"/>
      <c r="N964" s="137"/>
      <c r="O964" s="137"/>
    </row>
    <row r="965" customHeight="1" spans="3:15">
      <c r="C965" s="12"/>
      <c r="D965" s="12"/>
      <c r="E965" s="26"/>
      <c r="F965" s="26"/>
      <c r="G965" s="26"/>
      <c r="H965" s="26"/>
      <c r="I965" s="26"/>
      <c r="J965" s="26"/>
      <c r="L965" s="45"/>
      <c r="M965" s="45"/>
      <c r="N965" s="137"/>
      <c r="O965" s="137"/>
    </row>
    <row r="966" customHeight="1" spans="3:15">
      <c r="C966" s="12"/>
      <c r="D966" s="12"/>
      <c r="E966" s="26"/>
      <c r="F966" s="26"/>
      <c r="G966" s="26"/>
      <c r="H966" s="26"/>
      <c r="I966" s="26"/>
      <c r="J966" s="26"/>
      <c r="L966" s="45"/>
      <c r="M966" s="45"/>
      <c r="N966" s="137"/>
      <c r="O966" s="137"/>
    </row>
    <row r="967" customHeight="1" spans="3:15">
      <c r="C967" s="12"/>
      <c r="D967" s="12"/>
      <c r="E967" s="26"/>
      <c r="F967" s="26"/>
      <c r="G967" s="26"/>
      <c r="H967" s="26"/>
      <c r="I967" s="26"/>
      <c r="J967" s="26"/>
      <c r="L967" s="45"/>
      <c r="M967" s="45"/>
      <c r="N967" s="137"/>
      <c r="O967" s="137"/>
    </row>
    <row r="968" customHeight="1" spans="3:15">
      <c r="C968" s="12"/>
      <c r="D968" s="12"/>
      <c r="E968" s="26"/>
      <c r="F968" s="26"/>
      <c r="G968" s="26"/>
      <c r="H968" s="26"/>
      <c r="I968" s="26"/>
      <c r="J968" s="26"/>
      <c r="L968" s="45"/>
      <c r="M968" s="45"/>
      <c r="N968" s="137"/>
      <c r="O968" s="137"/>
    </row>
    <row r="969" customHeight="1" spans="3:15">
      <c r="C969" s="12"/>
      <c r="D969" s="12"/>
      <c r="E969" s="26"/>
      <c r="F969" s="26"/>
      <c r="G969" s="26"/>
      <c r="H969" s="26"/>
      <c r="I969" s="26"/>
      <c r="J969" s="26"/>
      <c r="L969" s="45"/>
      <c r="M969" s="45"/>
      <c r="N969" s="137"/>
      <c r="O969" s="137"/>
    </row>
    <row r="970" customHeight="1" spans="3:15">
      <c r="C970" s="12"/>
      <c r="D970" s="12"/>
      <c r="E970" s="26"/>
      <c r="F970" s="26"/>
      <c r="G970" s="26"/>
      <c r="H970" s="26"/>
      <c r="I970" s="26"/>
      <c r="J970" s="26"/>
      <c r="L970" s="45"/>
      <c r="M970" s="45"/>
      <c r="N970" s="137"/>
      <c r="O970" s="137"/>
    </row>
    <row r="971" customHeight="1" spans="3:15">
      <c r="C971" s="12"/>
      <c r="D971" s="12"/>
      <c r="E971" s="26"/>
      <c r="F971" s="26"/>
      <c r="G971" s="26"/>
      <c r="H971" s="26"/>
      <c r="I971" s="26"/>
      <c r="J971" s="26"/>
      <c r="L971" s="45"/>
      <c r="M971" s="45"/>
      <c r="N971" s="137"/>
      <c r="O971" s="137"/>
    </row>
    <row r="972" customHeight="1" spans="3:15">
      <c r="C972" s="12"/>
      <c r="D972" s="12"/>
      <c r="E972" s="26"/>
      <c r="F972" s="26"/>
      <c r="G972" s="26"/>
      <c r="H972" s="26"/>
      <c r="I972" s="26"/>
      <c r="J972" s="26"/>
      <c r="L972" s="45"/>
      <c r="M972" s="45"/>
      <c r="N972" s="137"/>
      <c r="O972" s="137"/>
    </row>
    <row r="973" customHeight="1" spans="3:15">
      <c r="C973" s="12"/>
      <c r="D973" s="12"/>
      <c r="E973" s="26"/>
      <c r="F973" s="26"/>
      <c r="G973" s="26"/>
      <c r="H973" s="26"/>
      <c r="I973" s="26"/>
      <c r="J973" s="26"/>
      <c r="L973" s="45"/>
      <c r="M973" s="45"/>
      <c r="N973" s="137"/>
      <c r="O973" s="137"/>
    </row>
    <row r="974" customHeight="1" spans="3:15">
      <c r="C974" s="12"/>
      <c r="D974" s="12"/>
      <c r="E974" s="26"/>
      <c r="F974" s="26"/>
      <c r="G974" s="26"/>
      <c r="H974" s="26"/>
      <c r="I974" s="26"/>
      <c r="J974" s="26"/>
      <c r="L974" s="45"/>
      <c r="M974" s="45"/>
      <c r="N974" s="137"/>
      <c r="O974" s="137"/>
    </row>
    <row r="975" customHeight="1" spans="3:15">
      <c r="C975" s="12"/>
      <c r="D975" s="12"/>
      <c r="E975" s="26"/>
      <c r="F975" s="26"/>
      <c r="G975" s="26"/>
      <c r="H975" s="26"/>
      <c r="I975" s="26"/>
      <c r="J975" s="26"/>
      <c r="L975" s="45"/>
      <c r="M975" s="45"/>
      <c r="N975" s="137"/>
      <c r="O975" s="137"/>
    </row>
    <row r="976" customHeight="1" spans="3:15">
      <c r="C976" s="12"/>
      <c r="D976" s="12"/>
      <c r="E976" s="26"/>
      <c r="F976" s="26"/>
      <c r="G976" s="26"/>
      <c r="H976" s="26"/>
      <c r="I976" s="26"/>
      <c r="J976" s="26"/>
      <c r="L976" s="45"/>
      <c r="M976" s="45"/>
      <c r="N976" s="137"/>
      <c r="O976" s="137"/>
    </row>
    <row r="977" customHeight="1" spans="3:15">
      <c r="C977" s="12"/>
      <c r="D977" s="12"/>
      <c r="E977" s="26"/>
      <c r="F977" s="26"/>
      <c r="G977" s="26"/>
      <c r="H977" s="26"/>
      <c r="I977" s="26"/>
      <c r="J977" s="26"/>
      <c r="L977" s="45"/>
      <c r="M977" s="45"/>
      <c r="N977" s="137"/>
      <c r="O977" s="137"/>
    </row>
    <row r="978" customHeight="1" spans="3:15">
      <c r="C978" s="12"/>
      <c r="D978" s="12"/>
      <c r="E978" s="26"/>
      <c r="F978" s="26"/>
      <c r="G978" s="26"/>
      <c r="H978" s="26"/>
      <c r="I978" s="26"/>
      <c r="J978" s="26"/>
      <c r="L978" s="45"/>
      <c r="M978" s="45"/>
      <c r="N978" s="137"/>
      <c r="O978" s="137"/>
    </row>
    <row r="979" customHeight="1" spans="3:15">
      <c r="C979" s="12"/>
      <c r="D979" s="12"/>
      <c r="E979" s="26"/>
      <c r="F979" s="26"/>
      <c r="G979" s="26"/>
      <c r="H979" s="26"/>
      <c r="I979" s="26"/>
      <c r="J979" s="26"/>
      <c r="L979" s="45"/>
      <c r="M979" s="45"/>
      <c r="N979" s="137"/>
      <c r="O979" s="137"/>
    </row>
    <row r="980" customHeight="1" spans="3:15">
      <c r="C980" s="12"/>
      <c r="D980" s="12"/>
      <c r="E980" s="26"/>
      <c r="F980" s="26"/>
      <c r="G980" s="26"/>
      <c r="H980" s="26"/>
      <c r="I980" s="26"/>
      <c r="J980" s="26"/>
      <c r="L980" s="45"/>
      <c r="M980" s="45"/>
      <c r="N980" s="137"/>
      <c r="O980" s="137"/>
    </row>
    <row r="981" customHeight="1" spans="3:15">
      <c r="C981" s="12"/>
      <c r="D981" s="12"/>
      <c r="E981" s="26"/>
      <c r="F981" s="26"/>
      <c r="G981" s="26"/>
      <c r="H981" s="26"/>
      <c r="I981" s="26"/>
      <c r="J981" s="26"/>
      <c r="L981" s="45"/>
      <c r="M981" s="45"/>
      <c r="N981" s="137"/>
      <c r="O981" s="137"/>
    </row>
    <row r="982" customHeight="1" spans="3:15">
      <c r="C982" s="12"/>
      <c r="D982" s="12"/>
      <c r="E982" s="26"/>
      <c r="F982" s="26"/>
      <c r="G982" s="26"/>
      <c r="H982" s="26"/>
      <c r="I982" s="26"/>
      <c r="J982" s="26"/>
      <c r="L982" s="45"/>
      <c r="M982" s="45"/>
      <c r="N982" s="137"/>
      <c r="O982" s="137"/>
    </row>
    <row r="983" customHeight="1" spans="3:15">
      <c r="C983" s="12"/>
      <c r="D983" s="12"/>
      <c r="E983" s="26"/>
      <c r="F983" s="26"/>
      <c r="G983" s="26"/>
      <c r="H983" s="26"/>
      <c r="I983" s="26"/>
      <c r="J983" s="26"/>
      <c r="L983" s="45"/>
      <c r="M983" s="45"/>
      <c r="N983" s="137"/>
      <c r="O983" s="137"/>
    </row>
    <row r="984" customHeight="1" spans="3:15">
      <c r="C984" s="12"/>
      <c r="D984" s="12"/>
      <c r="E984" s="26"/>
      <c r="F984" s="26"/>
      <c r="G984" s="26"/>
      <c r="H984" s="26"/>
      <c r="I984" s="26"/>
      <c r="J984" s="26"/>
      <c r="L984" s="45"/>
      <c r="M984" s="45"/>
      <c r="N984" s="137"/>
      <c r="O984" s="137"/>
    </row>
    <row r="985" customHeight="1" spans="3:15">
      <c r="C985" s="12"/>
      <c r="D985" s="12"/>
      <c r="E985" s="26"/>
      <c r="F985" s="26"/>
      <c r="G985" s="26"/>
      <c r="H985" s="26"/>
      <c r="I985" s="26"/>
      <c r="J985" s="26"/>
      <c r="L985" s="45"/>
      <c r="M985" s="45"/>
      <c r="N985" s="137"/>
      <c r="O985" s="137"/>
    </row>
    <row r="986" customHeight="1" spans="3:15">
      <c r="C986" s="12"/>
      <c r="D986" s="12"/>
      <c r="E986" s="26"/>
      <c r="F986" s="26"/>
      <c r="G986" s="26"/>
      <c r="H986" s="26"/>
      <c r="I986" s="26"/>
      <c r="J986" s="26"/>
      <c r="L986" s="45"/>
      <c r="M986" s="45"/>
      <c r="N986" s="137"/>
      <c r="O986" s="137"/>
    </row>
    <row r="987" customHeight="1" spans="3:15">
      <c r="C987" s="12"/>
      <c r="D987" s="12"/>
      <c r="E987" s="26"/>
      <c r="F987" s="26"/>
      <c r="G987" s="26"/>
      <c r="H987" s="26"/>
      <c r="I987" s="26"/>
      <c r="J987" s="26"/>
      <c r="L987" s="45"/>
      <c r="M987" s="45"/>
      <c r="N987" s="137"/>
      <c r="O987" s="137"/>
    </row>
    <row r="988" customHeight="1" spans="3:15">
      <c r="C988" s="12"/>
      <c r="D988" s="12"/>
      <c r="E988" s="26"/>
      <c r="F988" s="26"/>
      <c r="G988" s="26"/>
      <c r="H988" s="26"/>
      <c r="I988" s="26"/>
      <c r="J988" s="26"/>
      <c r="L988" s="45"/>
      <c r="M988" s="45"/>
      <c r="N988" s="137"/>
      <c r="O988" s="137"/>
    </row>
    <row r="989" customHeight="1" spans="3:15">
      <c r="C989" s="12"/>
      <c r="D989" s="12"/>
      <c r="E989" s="26"/>
      <c r="F989" s="26"/>
      <c r="G989" s="26"/>
      <c r="H989" s="26"/>
      <c r="I989" s="26"/>
      <c r="J989" s="26"/>
      <c r="L989" s="45"/>
      <c r="M989" s="45"/>
      <c r="N989" s="137"/>
      <c r="O989" s="137"/>
    </row>
    <row r="990" customHeight="1" spans="3:15">
      <c r="C990" s="12"/>
      <c r="D990" s="12"/>
      <c r="E990" s="26"/>
      <c r="F990" s="26"/>
      <c r="G990" s="26"/>
      <c r="H990" s="26"/>
      <c r="I990" s="26"/>
      <c r="J990" s="26"/>
      <c r="L990" s="45"/>
      <c r="M990" s="45"/>
      <c r="N990" s="137"/>
      <c r="O990" s="137"/>
    </row>
    <row r="991" customHeight="1" spans="3:15">
      <c r="C991" s="12"/>
      <c r="D991" s="12"/>
      <c r="E991" s="26"/>
      <c r="F991" s="26"/>
      <c r="G991" s="26"/>
      <c r="H991" s="26"/>
      <c r="I991" s="26"/>
      <c r="J991" s="26"/>
      <c r="L991" s="45"/>
      <c r="M991" s="45"/>
      <c r="N991" s="137"/>
      <c r="O991" s="137"/>
    </row>
    <row r="992" customHeight="1" spans="3:15">
      <c r="C992" s="12"/>
      <c r="D992" s="12"/>
      <c r="E992" s="26"/>
      <c r="F992" s="26"/>
      <c r="G992" s="26"/>
      <c r="H992" s="26"/>
      <c r="I992" s="26"/>
      <c r="J992" s="26"/>
      <c r="L992" s="45"/>
      <c r="M992" s="45"/>
      <c r="N992" s="137"/>
      <c r="O992" s="137"/>
    </row>
    <row r="993" customHeight="1" spans="3:15">
      <c r="C993" s="12"/>
      <c r="D993" s="12"/>
      <c r="E993" s="26"/>
      <c r="F993" s="26"/>
      <c r="G993" s="26"/>
      <c r="H993" s="26"/>
      <c r="I993" s="26"/>
      <c r="J993" s="26"/>
      <c r="L993" s="45"/>
      <c r="M993" s="45"/>
      <c r="N993" s="137"/>
      <c r="O993" s="137"/>
    </row>
    <row r="994" customHeight="1" spans="3:15">
      <c r="C994" s="12"/>
      <c r="D994" s="12"/>
      <c r="E994" s="26"/>
      <c r="F994" s="26"/>
      <c r="G994" s="26"/>
      <c r="H994" s="26"/>
      <c r="I994" s="26"/>
      <c r="J994" s="26"/>
      <c r="L994" s="45"/>
      <c r="M994" s="45"/>
      <c r="N994" s="137"/>
      <c r="O994" s="137"/>
    </row>
    <row r="995" customHeight="1" spans="3:15">
      <c r="C995" s="12"/>
      <c r="D995" s="12"/>
      <c r="E995" s="26"/>
      <c r="F995" s="26"/>
      <c r="G995" s="26"/>
      <c r="H995" s="26"/>
      <c r="I995" s="26"/>
      <c r="J995" s="26"/>
      <c r="L995" s="45"/>
      <c r="M995" s="45"/>
      <c r="N995" s="137"/>
      <c r="O995" s="137"/>
    </row>
    <row r="996" customHeight="1" spans="3:15">
      <c r="C996" s="12"/>
      <c r="D996" s="12"/>
      <c r="E996" s="26"/>
      <c r="F996" s="26"/>
      <c r="G996" s="26"/>
      <c r="H996" s="26"/>
      <c r="I996" s="26"/>
      <c r="J996" s="26"/>
      <c r="L996" s="45"/>
      <c r="M996" s="45"/>
      <c r="N996" s="137"/>
      <c r="O996" s="137"/>
    </row>
    <row r="997" customHeight="1" spans="3:15">
      <c r="C997" s="12"/>
      <c r="D997" s="12"/>
      <c r="E997" s="26"/>
      <c r="F997" s="26"/>
      <c r="G997" s="26"/>
      <c r="H997" s="26"/>
      <c r="I997" s="26"/>
      <c r="J997" s="26"/>
      <c r="L997" s="45"/>
      <c r="M997" s="45"/>
      <c r="N997" s="137"/>
      <c r="O997" s="137"/>
    </row>
    <row r="998" customHeight="1" spans="3:15">
      <c r="C998" s="12"/>
      <c r="D998" s="12"/>
      <c r="E998" s="26"/>
      <c r="F998" s="26"/>
      <c r="G998" s="26"/>
      <c r="H998" s="26"/>
      <c r="I998" s="26"/>
      <c r="J998" s="26"/>
      <c r="L998" s="45"/>
      <c r="M998" s="45"/>
      <c r="N998" s="137"/>
      <c r="O998" s="137"/>
    </row>
    <row r="999" customHeight="1" spans="3:15">
      <c r="C999" s="12"/>
      <c r="D999" s="12"/>
      <c r="E999" s="26"/>
      <c r="F999" s="26"/>
      <c r="G999" s="26"/>
      <c r="H999" s="26"/>
      <c r="I999" s="26"/>
      <c r="J999" s="26"/>
      <c r="L999" s="45"/>
      <c r="M999" s="45"/>
      <c r="N999" s="137"/>
      <c r="O999" s="137"/>
    </row>
    <row r="1000" customHeight="1" spans="3:15">
      <c r="C1000" s="12"/>
      <c r="D1000" s="12"/>
      <c r="E1000" s="26"/>
      <c r="F1000" s="26"/>
      <c r="G1000" s="26"/>
      <c r="H1000" s="26"/>
      <c r="I1000" s="26"/>
      <c r="J1000" s="26"/>
      <c r="L1000" s="45"/>
      <c r="M1000" s="45"/>
      <c r="N1000" s="137"/>
      <c r="O1000" s="137"/>
    </row>
    <row r="1001" customHeight="1" spans="3:15">
      <c r="C1001" s="12"/>
      <c r="D1001" s="12"/>
      <c r="E1001" s="26"/>
      <c r="F1001" s="26"/>
      <c r="G1001" s="26"/>
      <c r="H1001" s="26"/>
      <c r="I1001" s="26"/>
      <c r="J1001" s="26"/>
      <c r="L1001" s="45"/>
      <c r="M1001" s="45"/>
      <c r="N1001" s="137"/>
      <c r="O1001" s="137"/>
    </row>
    <row r="1002" customHeight="1" spans="3:15">
      <c r="C1002" s="12"/>
      <c r="D1002" s="12"/>
      <c r="E1002" s="26"/>
      <c r="F1002" s="26"/>
      <c r="G1002" s="26"/>
      <c r="H1002" s="26"/>
      <c r="I1002" s="26"/>
      <c r="J1002" s="26"/>
      <c r="L1002" s="45"/>
      <c r="M1002" s="45"/>
      <c r="N1002" s="137"/>
      <c r="O1002" s="137"/>
    </row>
    <row r="1003" customHeight="1" spans="3:15">
      <c r="C1003" s="12"/>
      <c r="D1003" s="12"/>
      <c r="E1003" s="26"/>
      <c r="F1003" s="26"/>
      <c r="G1003" s="26"/>
      <c r="H1003" s="26"/>
      <c r="I1003" s="26"/>
      <c r="J1003" s="26"/>
      <c r="L1003" s="45"/>
      <c r="M1003" s="45"/>
      <c r="N1003" s="137"/>
      <c r="O1003" s="137"/>
    </row>
    <row r="1004" customHeight="1" spans="3:15">
      <c r="C1004" s="12"/>
      <c r="D1004" s="12"/>
      <c r="E1004" s="26"/>
      <c r="F1004" s="26"/>
      <c r="G1004" s="26"/>
      <c r="H1004" s="26"/>
      <c r="I1004" s="26"/>
      <c r="J1004" s="26"/>
      <c r="L1004" s="45"/>
      <c r="M1004" s="45"/>
      <c r="N1004" s="137"/>
      <c r="O1004" s="137"/>
    </row>
    <row r="1005" customHeight="1" spans="3:15">
      <c r="C1005" s="12"/>
      <c r="D1005" s="12"/>
      <c r="E1005" s="26"/>
      <c r="F1005" s="26"/>
      <c r="G1005" s="26"/>
      <c r="H1005" s="26"/>
      <c r="I1005" s="26"/>
      <c r="J1005" s="26"/>
      <c r="L1005" s="45"/>
      <c r="M1005" s="45"/>
      <c r="N1005" s="137"/>
      <c r="O1005" s="137"/>
    </row>
    <row r="1006" customHeight="1" spans="3:15">
      <c r="C1006" s="12"/>
      <c r="D1006" s="12"/>
      <c r="E1006" s="26"/>
      <c r="F1006" s="26"/>
      <c r="G1006" s="26"/>
      <c r="H1006" s="26"/>
      <c r="I1006" s="26"/>
      <c r="J1006" s="26"/>
      <c r="L1006" s="45"/>
      <c r="M1006" s="45"/>
      <c r="N1006" s="137"/>
      <c r="O1006" s="137"/>
    </row>
    <row r="1007" customHeight="1" spans="3:15">
      <c r="C1007" s="12"/>
      <c r="D1007" s="12"/>
      <c r="E1007" s="26"/>
      <c r="F1007" s="26"/>
      <c r="G1007" s="26"/>
      <c r="H1007" s="26"/>
      <c r="I1007" s="26"/>
      <c r="J1007" s="26"/>
      <c r="L1007" s="45"/>
      <c r="M1007" s="45"/>
      <c r="N1007" s="137"/>
      <c r="O1007" s="137"/>
    </row>
    <row r="1008" customHeight="1" spans="3:15">
      <c r="C1008" s="12"/>
      <c r="D1008" s="12"/>
      <c r="E1008" s="26"/>
      <c r="F1008" s="26"/>
      <c r="G1008" s="26"/>
      <c r="H1008" s="26"/>
      <c r="I1008" s="26"/>
      <c r="J1008" s="26"/>
      <c r="L1008" s="45"/>
      <c r="M1008" s="45"/>
      <c r="N1008" s="137"/>
      <c r="O1008" s="137"/>
    </row>
    <row r="1009" customHeight="1" spans="3:15">
      <c r="C1009" s="12"/>
      <c r="D1009" s="12"/>
      <c r="E1009" s="26"/>
      <c r="F1009" s="26"/>
      <c r="G1009" s="26"/>
      <c r="H1009" s="26"/>
      <c r="I1009" s="26"/>
      <c r="J1009" s="26"/>
      <c r="L1009" s="45"/>
      <c r="M1009" s="45"/>
      <c r="N1009" s="137"/>
      <c r="O1009" s="137"/>
    </row>
    <row r="1010" customHeight="1" spans="3:15">
      <c r="C1010" s="12"/>
      <c r="D1010" s="12"/>
      <c r="E1010" s="26"/>
      <c r="F1010" s="26"/>
      <c r="G1010" s="26"/>
      <c r="H1010" s="26"/>
      <c r="I1010" s="26"/>
      <c r="J1010" s="26"/>
      <c r="L1010" s="45"/>
      <c r="M1010" s="45"/>
      <c r="N1010" s="137"/>
      <c r="O1010" s="137"/>
    </row>
    <row r="1011" customHeight="1" spans="3:15">
      <c r="C1011" s="12"/>
      <c r="D1011" s="12"/>
      <c r="E1011" s="26"/>
      <c r="F1011" s="26"/>
      <c r="G1011" s="26"/>
      <c r="H1011" s="26"/>
      <c r="I1011" s="26"/>
      <c r="J1011" s="26"/>
      <c r="L1011" s="45"/>
      <c r="M1011" s="45"/>
      <c r="N1011" s="137"/>
      <c r="O1011" s="137"/>
    </row>
    <row r="1012" customHeight="1" spans="3:15">
      <c r="C1012" s="12"/>
      <c r="D1012" s="12"/>
      <c r="E1012" s="26"/>
      <c r="F1012" s="26"/>
      <c r="G1012" s="26"/>
      <c r="H1012" s="26"/>
      <c r="I1012" s="26"/>
      <c r="J1012" s="26"/>
      <c r="L1012" s="45"/>
      <c r="M1012" s="45"/>
      <c r="N1012" s="137"/>
      <c r="O1012" s="137"/>
    </row>
    <row r="1013" customHeight="1" spans="3:15">
      <c r="C1013" s="12"/>
      <c r="D1013" s="12"/>
      <c r="E1013" s="26"/>
      <c r="F1013" s="26"/>
      <c r="G1013" s="26"/>
      <c r="H1013" s="26"/>
      <c r="I1013" s="26"/>
      <c r="J1013" s="26"/>
      <c r="L1013" s="45"/>
      <c r="M1013" s="45"/>
      <c r="N1013" s="137"/>
      <c r="O1013" s="137"/>
    </row>
    <row r="1014" customHeight="1" spans="3:15">
      <c r="C1014" s="12"/>
      <c r="D1014" s="12"/>
      <c r="E1014" s="26"/>
      <c r="F1014" s="26"/>
      <c r="G1014" s="26"/>
      <c r="H1014" s="26"/>
      <c r="I1014" s="26"/>
      <c r="J1014" s="26"/>
      <c r="L1014" s="45"/>
      <c r="M1014" s="45"/>
      <c r="N1014" s="137"/>
      <c r="O1014" s="137"/>
    </row>
    <row r="1015" customHeight="1" spans="3:15">
      <c r="C1015" s="12"/>
      <c r="D1015" s="12"/>
      <c r="E1015" s="26"/>
      <c r="F1015" s="26"/>
      <c r="G1015" s="26"/>
      <c r="H1015" s="26"/>
      <c r="I1015" s="26"/>
      <c r="J1015" s="26"/>
      <c r="L1015" s="45"/>
      <c r="M1015" s="45"/>
      <c r="N1015" s="137"/>
      <c r="O1015" s="137"/>
    </row>
    <row r="1016" customHeight="1" spans="3:15">
      <c r="C1016" s="12"/>
      <c r="D1016" s="12"/>
      <c r="E1016" s="26"/>
      <c r="F1016" s="26"/>
      <c r="G1016" s="26"/>
      <c r="H1016" s="26"/>
      <c r="I1016" s="26"/>
      <c r="J1016" s="26"/>
      <c r="L1016" s="45"/>
      <c r="M1016" s="45"/>
      <c r="N1016" s="137"/>
      <c r="O1016" s="137"/>
    </row>
    <row r="1017" customHeight="1" spans="3:15">
      <c r="C1017" s="12"/>
      <c r="D1017" s="12"/>
      <c r="E1017" s="26"/>
      <c r="F1017" s="26"/>
      <c r="G1017" s="26"/>
      <c r="H1017" s="26"/>
      <c r="I1017" s="26"/>
      <c r="J1017" s="26"/>
      <c r="L1017" s="45"/>
      <c r="M1017" s="45"/>
      <c r="N1017" s="137"/>
      <c r="O1017" s="137"/>
    </row>
    <row r="1018" customHeight="1" spans="3:15">
      <c r="C1018" s="12"/>
      <c r="D1018" s="12"/>
      <c r="E1018" s="26"/>
      <c r="F1018" s="26"/>
      <c r="G1018" s="26"/>
      <c r="H1018" s="26"/>
      <c r="I1018" s="26"/>
      <c r="J1018" s="26"/>
      <c r="L1018" s="45"/>
      <c r="M1018" s="45"/>
      <c r="N1018" s="137"/>
      <c r="O1018" s="137"/>
    </row>
    <row r="1019" customHeight="1" spans="3:15">
      <c r="C1019" s="12"/>
      <c r="D1019" s="12"/>
      <c r="E1019" s="26"/>
      <c r="F1019" s="26"/>
      <c r="G1019" s="26"/>
      <c r="H1019" s="26"/>
      <c r="I1019" s="26"/>
      <c r="J1019" s="26"/>
      <c r="L1019" s="45"/>
      <c r="M1019" s="45"/>
      <c r="N1019" s="137"/>
      <c r="O1019" s="137"/>
    </row>
    <row r="1020" customHeight="1" spans="3:15">
      <c r="C1020" s="12"/>
      <c r="D1020" s="12"/>
      <c r="E1020" s="26"/>
      <c r="F1020" s="26"/>
      <c r="G1020" s="26"/>
      <c r="H1020" s="26"/>
      <c r="I1020" s="26"/>
      <c r="J1020" s="26"/>
      <c r="L1020" s="45"/>
      <c r="M1020" s="45"/>
      <c r="N1020" s="137"/>
      <c r="O1020" s="137"/>
    </row>
    <row r="1021" customHeight="1" spans="3:15">
      <c r="C1021" s="12"/>
      <c r="D1021" s="12"/>
      <c r="E1021" s="26"/>
      <c r="F1021" s="26"/>
      <c r="G1021" s="26"/>
      <c r="H1021" s="26"/>
      <c r="I1021" s="26"/>
      <c r="J1021" s="26"/>
      <c r="L1021" s="45"/>
      <c r="M1021" s="45"/>
      <c r="N1021" s="137"/>
      <c r="O1021" s="137"/>
    </row>
    <row r="1022" customHeight="1" spans="3:15">
      <c r="C1022" s="12"/>
      <c r="D1022" s="12"/>
      <c r="E1022" s="26"/>
      <c r="F1022" s="26"/>
      <c r="G1022" s="26"/>
      <c r="H1022" s="26"/>
      <c r="I1022" s="26"/>
      <c r="J1022" s="26"/>
      <c r="L1022" s="45"/>
      <c r="M1022" s="45"/>
      <c r="N1022" s="137"/>
      <c r="O1022" s="137"/>
    </row>
    <row r="1023" customHeight="1" spans="3:15">
      <c r="C1023" s="12"/>
      <c r="D1023" s="12"/>
      <c r="E1023" s="26"/>
      <c r="F1023" s="26"/>
      <c r="G1023" s="26"/>
      <c r="H1023" s="26"/>
      <c r="I1023" s="26"/>
      <c r="J1023" s="26"/>
      <c r="L1023" s="45"/>
      <c r="M1023" s="45"/>
      <c r="N1023" s="137"/>
      <c r="O1023" s="137"/>
    </row>
    <row r="1024" customHeight="1" spans="3:15">
      <c r="C1024" s="12"/>
      <c r="D1024" s="12"/>
      <c r="E1024" s="26"/>
      <c r="F1024" s="26"/>
      <c r="G1024" s="26"/>
      <c r="H1024" s="26"/>
      <c r="I1024" s="26"/>
      <c r="J1024" s="26"/>
      <c r="L1024" s="45"/>
      <c r="M1024" s="45"/>
      <c r="N1024" s="137"/>
      <c r="O1024" s="137"/>
    </row>
    <row r="1025" customHeight="1" spans="3:15">
      <c r="C1025" s="12"/>
      <c r="D1025" s="12"/>
      <c r="E1025" s="26"/>
      <c r="F1025" s="26"/>
      <c r="G1025" s="26"/>
      <c r="H1025" s="26"/>
      <c r="I1025" s="26"/>
      <c r="J1025" s="26"/>
      <c r="L1025" s="45"/>
      <c r="M1025" s="45"/>
      <c r="N1025" s="137"/>
      <c r="O1025" s="137"/>
    </row>
    <row r="1026" customHeight="1" spans="3:15">
      <c r="C1026" s="12"/>
      <c r="D1026" s="12"/>
      <c r="E1026" s="26"/>
      <c r="F1026" s="26"/>
      <c r="G1026" s="26"/>
      <c r="H1026" s="26"/>
      <c r="I1026" s="26"/>
      <c r="J1026" s="26"/>
      <c r="L1026" s="45"/>
      <c r="M1026" s="45"/>
      <c r="N1026" s="137"/>
      <c r="O1026" s="137"/>
    </row>
    <row r="1027" customHeight="1" spans="3:15">
      <c r="C1027" s="12"/>
      <c r="D1027" s="12"/>
      <c r="E1027" s="26"/>
      <c r="F1027" s="26"/>
      <c r="G1027" s="26"/>
      <c r="H1027" s="26"/>
      <c r="I1027" s="26"/>
      <c r="J1027" s="26"/>
      <c r="L1027" s="45"/>
      <c r="M1027" s="45"/>
      <c r="N1027" s="137"/>
      <c r="O1027" s="137"/>
    </row>
    <row r="1028" customHeight="1" spans="3:15">
      <c r="C1028" s="12"/>
      <c r="D1028" s="12"/>
      <c r="E1028" s="26"/>
      <c r="F1028" s="26"/>
      <c r="G1028" s="26"/>
      <c r="H1028" s="26"/>
      <c r="I1028" s="26"/>
      <c r="J1028" s="26"/>
      <c r="L1028" s="45"/>
      <c r="M1028" s="45"/>
      <c r="N1028" s="137"/>
      <c r="O1028" s="137"/>
    </row>
    <row r="1029" customHeight="1" spans="3:15">
      <c r="C1029" s="12"/>
      <c r="D1029" s="12"/>
      <c r="E1029" s="26"/>
      <c r="F1029" s="26"/>
      <c r="G1029" s="26"/>
      <c r="H1029" s="26"/>
      <c r="I1029" s="26"/>
      <c r="J1029" s="26"/>
      <c r="L1029" s="45"/>
      <c r="M1029" s="45"/>
      <c r="N1029" s="137"/>
      <c r="O1029" s="137"/>
    </row>
    <row r="1030" customHeight="1" spans="3:15">
      <c r="C1030" s="12"/>
      <c r="D1030" s="12"/>
      <c r="E1030" s="26"/>
      <c r="F1030" s="26"/>
      <c r="G1030" s="26"/>
      <c r="H1030" s="26"/>
      <c r="I1030" s="26"/>
      <c r="J1030" s="26"/>
      <c r="L1030" s="45"/>
      <c r="M1030" s="45"/>
      <c r="N1030" s="137"/>
      <c r="O1030" s="137"/>
    </row>
    <row r="1031" customHeight="1" spans="3:15">
      <c r="C1031" s="12"/>
      <c r="D1031" s="12"/>
      <c r="E1031" s="26"/>
      <c r="F1031" s="26"/>
      <c r="G1031" s="26"/>
      <c r="H1031" s="26"/>
      <c r="I1031" s="26"/>
      <c r="J1031" s="26"/>
      <c r="L1031" s="45"/>
      <c r="M1031" s="45"/>
      <c r="N1031" s="137"/>
      <c r="O1031" s="137"/>
    </row>
    <row r="1032" customHeight="1" spans="3:15">
      <c r="C1032" s="12"/>
      <c r="D1032" s="12"/>
      <c r="E1032" s="26"/>
      <c r="F1032" s="26"/>
      <c r="G1032" s="26"/>
      <c r="H1032" s="26"/>
      <c r="I1032" s="26"/>
      <c r="J1032" s="26"/>
      <c r="L1032" s="45"/>
      <c r="M1032" s="45"/>
      <c r="N1032" s="137"/>
      <c r="O1032" s="137"/>
    </row>
    <row r="1033" customHeight="1" spans="3:15">
      <c r="C1033" s="12"/>
      <c r="D1033" s="12"/>
      <c r="E1033" s="26"/>
      <c r="F1033" s="26"/>
      <c r="G1033" s="26"/>
      <c r="H1033" s="26"/>
      <c r="I1033" s="26"/>
      <c r="J1033" s="26"/>
      <c r="L1033" s="45"/>
      <c r="M1033" s="45"/>
      <c r="N1033" s="137"/>
      <c r="O1033" s="137"/>
    </row>
    <row r="1034" customHeight="1" spans="3:15">
      <c r="C1034" s="12"/>
      <c r="D1034" s="12"/>
      <c r="E1034" s="26"/>
      <c r="F1034" s="26"/>
      <c r="G1034" s="26"/>
      <c r="H1034" s="26"/>
      <c r="I1034" s="26"/>
      <c r="J1034" s="26"/>
      <c r="L1034" s="45"/>
      <c r="M1034" s="45"/>
      <c r="N1034" s="137"/>
      <c r="O1034" s="137"/>
    </row>
    <row r="1035" customHeight="1" spans="3:15">
      <c r="C1035" s="12"/>
      <c r="D1035" s="12"/>
      <c r="E1035" s="26"/>
      <c r="F1035" s="26"/>
      <c r="G1035" s="26"/>
      <c r="H1035" s="26"/>
      <c r="I1035" s="26"/>
      <c r="J1035" s="26"/>
      <c r="L1035" s="45"/>
      <c r="M1035" s="45"/>
      <c r="N1035" s="137"/>
      <c r="O1035" s="137"/>
    </row>
    <row r="1036" customHeight="1" spans="3:15">
      <c r="C1036" s="12"/>
      <c r="D1036" s="12"/>
      <c r="E1036" s="26"/>
      <c r="F1036" s="26"/>
      <c r="G1036" s="26"/>
      <c r="H1036" s="26"/>
      <c r="I1036" s="26"/>
      <c r="J1036" s="26"/>
      <c r="L1036" s="45"/>
      <c r="M1036" s="45"/>
      <c r="N1036" s="137"/>
      <c r="O1036" s="137"/>
    </row>
    <row r="1037" customHeight="1" spans="3:15">
      <c r="C1037" s="12"/>
      <c r="D1037" s="12"/>
      <c r="E1037" s="26"/>
      <c r="F1037" s="26"/>
      <c r="G1037" s="26"/>
      <c r="H1037" s="26"/>
      <c r="I1037" s="26"/>
      <c r="J1037" s="26"/>
      <c r="L1037" s="45"/>
      <c r="M1037" s="45"/>
      <c r="N1037" s="137"/>
      <c r="O1037" s="137"/>
    </row>
    <row r="1038" customHeight="1" spans="3:15">
      <c r="C1038" s="12"/>
      <c r="D1038" s="12"/>
      <c r="E1038" s="26"/>
      <c r="F1038" s="26"/>
      <c r="G1038" s="26"/>
      <c r="H1038" s="26"/>
      <c r="I1038" s="26"/>
      <c r="J1038" s="26"/>
      <c r="L1038" s="45"/>
      <c r="M1038" s="45"/>
      <c r="N1038" s="137"/>
      <c r="O1038" s="137"/>
    </row>
    <row r="1039" customHeight="1" spans="3:15">
      <c r="C1039" s="12"/>
      <c r="D1039" s="12"/>
      <c r="E1039" s="26"/>
      <c r="F1039" s="26"/>
      <c r="G1039" s="26"/>
      <c r="H1039" s="26"/>
      <c r="I1039" s="26"/>
      <c r="J1039" s="26"/>
      <c r="L1039" s="45"/>
      <c r="M1039" s="45"/>
      <c r="N1039" s="137"/>
      <c r="O1039" s="137"/>
    </row>
    <row r="1040" customHeight="1" spans="3:15">
      <c r="C1040" s="12"/>
      <c r="D1040" s="12"/>
      <c r="E1040" s="26"/>
      <c r="F1040" s="26"/>
      <c r="G1040" s="26"/>
      <c r="H1040" s="26"/>
      <c r="I1040" s="26"/>
      <c r="J1040" s="26"/>
      <c r="L1040" s="45"/>
      <c r="M1040" s="45"/>
      <c r="N1040" s="137"/>
      <c r="O1040" s="137"/>
    </row>
    <row r="1041" customHeight="1" spans="3:15">
      <c r="C1041" s="12"/>
      <c r="D1041" s="12"/>
      <c r="E1041" s="26"/>
      <c r="F1041" s="26"/>
      <c r="G1041" s="26"/>
      <c r="H1041" s="26"/>
      <c r="I1041" s="26"/>
      <c r="J1041" s="26"/>
      <c r="L1041" s="45"/>
      <c r="M1041" s="45"/>
      <c r="N1041" s="137"/>
      <c r="O1041" s="137"/>
    </row>
    <row r="1042" customHeight="1" spans="3:15">
      <c r="C1042" s="12"/>
      <c r="D1042" s="12"/>
      <c r="E1042" s="26"/>
      <c r="F1042" s="26"/>
      <c r="G1042" s="26"/>
      <c r="H1042" s="26"/>
      <c r="I1042" s="26"/>
      <c r="J1042" s="26"/>
      <c r="L1042" s="45"/>
      <c r="M1042" s="45"/>
      <c r="N1042" s="137"/>
      <c r="O1042" s="137"/>
    </row>
    <row r="1043" customHeight="1" spans="3:15">
      <c r="C1043" s="12"/>
      <c r="D1043" s="12"/>
      <c r="E1043" s="26"/>
      <c r="F1043" s="26"/>
      <c r="G1043" s="26"/>
      <c r="H1043" s="26"/>
      <c r="I1043" s="26"/>
      <c r="J1043" s="26"/>
      <c r="L1043" s="45"/>
      <c r="M1043" s="45"/>
      <c r="N1043" s="137"/>
      <c r="O1043" s="137"/>
    </row>
    <row r="1044" customHeight="1" spans="3:15">
      <c r="C1044" s="12"/>
      <c r="D1044" s="12"/>
      <c r="E1044" s="26"/>
      <c r="F1044" s="26"/>
      <c r="G1044" s="26"/>
      <c r="H1044" s="26"/>
      <c r="I1044" s="26"/>
      <c r="J1044" s="26"/>
      <c r="L1044" s="45"/>
      <c r="M1044" s="45"/>
      <c r="N1044" s="137"/>
      <c r="O1044" s="137"/>
    </row>
    <row r="1045" customHeight="1" spans="3:15">
      <c r="C1045" s="12"/>
      <c r="D1045" s="12"/>
      <c r="E1045" s="26"/>
      <c r="F1045" s="26"/>
      <c r="G1045" s="26"/>
      <c r="H1045" s="26"/>
      <c r="I1045" s="26"/>
      <c r="J1045" s="26"/>
      <c r="L1045" s="45"/>
      <c r="M1045" s="45"/>
      <c r="N1045" s="137"/>
      <c r="O1045" s="137"/>
    </row>
    <row r="1046" customHeight="1" spans="3:15">
      <c r="C1046" s="12"/>
      <c r="D1046" s="12"/>
      <c r="E1046" s="26"/>
      <c r="F1046" s="26"/>
      <c r="G1046" s="26"/>
      <c r="H1046" s="26"/>
      <c r="I1046" s="26"/>
      <c r="J1046" s="26"/>
      <c r="L1046" s="45"/>
      <c r="M1046" s="45"/>
      <c r="N1046" s="137"/>
      <c r="O1046" s="137"/>
    </row>
    <row r="1047" customHeight="1" spans="3:15">
      <c r="C1047" s="12"/>
      <c r="D1047" s="12"/>
      <c r="E1047" s="26"/>
      <c r="F1047" s="26"/>
      <c r="G1047" s="26"/>
      <c r="H1047" s="26"/>
      <c r="I1047" s="26"/>
      <c r="J1047" s="26"/>
      <c r="L1047" s="45"/>
      <c r="M1047" s="45"/>
      <c r="N1047" s="137"/>
      <c r="O1047" s="137"/>
    </row>
    <row r="1048" customHeight="1" spans="3:15">
      <c r="C1048" s="12"/>
      <c r="D1048" s="12"/>
      <c r="E1048" s="26"/>
      <c r="F1048" s="26"/>
      <c r="G1048" s="26"/>
      <c r="H1048" s="26"/>
      <c r="I1048" s="26"/>
      <c r="J1048" s="26"/>
      <c r="L1048" s="45"/>
      <c r="M1048" s="45"/>
      <c r="N1048" s="137"/>
      <c r="O1048" s="137"/>
    </row>
    <row r="1049" customHeight="1" spans="3:15">
      <c r="C1049" s="12"/>
      <c r="D1049" s="12"/>
      <c r="E1049" s="26"/>
      <c r="F1049" s="26"/>
      <c r="G1049" s="26"/>
      <c r="H1049" s="26"/>
      <c r="I1049" s="26"/>
      <c r="J1049" s="26"/>
      <c r="L1049" s="45"/>
      <c r="M1049" s="45"/>
      <c r="N1049" s="137"/>
      <c r="O1049" s="137"/>
    </row>
    <row r="1050" customHeight="1" spans="3:15">
      <c r="C1050" s="12"/>
      <c r="D1050" s="12"/>
      <c r="E1050" s="26"/>
      <c r="F1050" s="26"/>
      <c r="G1050" s="26"/>
      <c r="H1050" s="26"/>
      <c r="I1050" s="26"/>
      <c r="J1050" s="26"/>
      <c r="L1050" s="45"/>
      <c r="M1050" s="45"/>
      <c r="N1050" s="137"/>
      <c r="O1050" s="137"/>
    </row>
    <row r="1051" customHeight="1" spans="3:15">
      <c r="C1051" s="12"/>
      <c r="D1051" s="12"/>
      <c r="E1051" s="26"/>
      <c r="F1051" s="26"/>
      <c r="G1051" s="26"/>
      <c r="H1051" s="26"/>
      <c r="I1051" s="26"/>
      <c r="J1051" s="26"/>
      <c r="L1051" s="45"/>
      <c r="M1051" s="45"/>
      <c r="N1051" s="137"/>
      <c r="O1051" s="137"/>
    </row>
    <row r="1052" customHeight="1" spans="3:15">
      <c r="C1052" s="12"/>
      <c r="D1052" s="12"/>
      <c r="E1052" s="26"/>
      <c r="F1052" s="26"/>
      <c r="G1052" s="26"/>
      <c r="H1052" s="26"/>
      <c r="I1052" s="26"/>
      <c r="J1052" s="26"/>
      <c r="L1052" s="45"/>
      <c r="M1052" s="45"/>
      <c r="N1052" s="137"/>
      <c r="O1052" s="137"/>
    </row>
    <row r="1053" customHeight="1" spans="3:15">
      <c r="C1053" s="12"/>
      <c r="D1053" s="12"/>
      <c r="E1053" s="26"/>
      <c r="F1053" s="26"/>
      <c r="G1053" s="26"/>
      <c r="H1053" s="26"/>
      <c r="I1053" s="26"/>
      <c r="J1053" s="26"/>
      <c r="L1053" s="45"/>
      <c r="M1053" s="45"/>
      <c r="N1053" s="137"/>
      <c r="O1053" s="137"/>
    </row>
    <row r="1054" customHeight="1" spans="3:15">
      <c r="C1054" s="12"/>
      <c r="D1054" s="12"/>
      <c r="E1054" s="26"/>
      <c r="F1054" s="26"/>
      <c r="G1054" s="26"/>
      <c r="H1054" s="26"/>
      <c r="I1054" s="26"/>
      <c r="J1054" s="26"/>
      <c r="L1054" s="45"/>
      <c r="M1054" s="45"/>
      <c r="N1054" s="137"/>
      <c r="O1054" s="137"/>
    </row>
    <row r="1055" customHeight="1" spans="3:15">
      <c r="C1055" s="12"/>
      <c r="D1055" s="12"/>
      <c r="E1055" s="26"/>
      <c r="F1055" s="26"/>
      <c r="G1055" s="26"/>
      <c r="H1055" s="26"/>
      <c r="I1055" s="26"/>
      <c r="J1055" s="26"/>
      <c r="L1055" s="45"/>
      <c r="M1055" s="45"/>
      <c r="N1055" s="137"/>
      <c r="O1055" s="137"/>
    </row>
    <row r="1056" customHeight="1" spans="3:15">
      <c r="C1056" s="12"/>
      <c r="D1056" s="12"/>
      <c r="E1056" s="26"/>
      <c r="F1056" s="26"/>
      <c r="G1056" s="26"/>
      <c r="H1056" s="26"/>
      <c r="I1056" s="26"/>
      <c r="J1056" s="26"/>
      <c r="L1056" s="45"/>
      <c r="M1056" s="45"/>
      <c r="N1056" s="137"/>
      <c r="O1056" s="137"/>
    </row>
    <row r="1057" customHeight="1" spans="3:15">
      <c r="C1057" s="12"/>
      <c r="D1057" s="12"/>
      <c r="E1057" s="26"/>
      <c r="F1057" s="26"/>
      <c r="G1057" s="26"/>
      <c r="H1057" s="26"/>
      <c r="I1057" s="26"/>
      <c r="J1057" s="26"/>
      <c r="L1057" s="45"/>
      <c r="M1057" s="45"/>
      <c r="N1057" s="137"/>
      <c r="O1057" s="137"/>
    </row>
    <row r="1058" customHeight="1" spans="3:15">
      <c r="C1058" s="12"/>
      <c r="D1058" s="12"/>
      <c r="E1058" s="26"/>
      <c r="F1058" s="26"/>
      <c r="G1058" s="26"/>
      <c r="H1058" s="26"/>
      <c r="I1058" s="26"/>
      <c r="J1058" s="26"/>
      <c r="L1058" s="45"/>
      <c r="M1058" s="45"/>
      <c r="N1058" s="137"/>
      <c r="O1058" s="137"/>
    </row>
    <row r="1059" customHeight="1" spans="3:15">
      <c r="C1059" s="12"/>
      <c r="D1059" s="12"/>
      <c r="E1059" s="26"/>
      <c r="F1059" s="26"/>
      <c r="G1059" s="26"/>
      <c r="H1059" s="26"/>
      <c r="I1059" s="26"/>
      <c r="J1059" s="26"/>
      <c r="L1059" s="45"/>
      <c r="M1059" s="45"/>
      <c r="N1059" s="137"/>
      <c r="O1059" s="137"/>
    </row>
    <row r="1060" customHeight="1" spans="3:15">
      <c r="C1060" s="12"/>
      <c r="D1060" s="12"/>
      <c r="E1060" s="26"/>
      <c r="F1060" s="26"/>
      <c r="G1060" s="26"/>
      <c r="H1060" s="26"/>
      <c r="I1060" s="26"/>
      <c r="J1060" s="26"/>
      <c r="L1060" s="45"/>
      <c r="M1060" s="45"/>
      <c r="N1060" s="137"/>
      <c r="O1060" s="137"/>
    </row>
    <row r="1061" customHeight="1" spans="3:15">
      <c r="C1061" s="12"/>
      <c r="D1061" s="12"/>
      <c r="E1061" s="26"/>
      <c r="F1061" s="26"/>
      <c r="G1061" s="26"/>
      <c r="H1061" s="26"/>
      <c r="I1061" s="26"/>
      <c r="J1061" s="26"/>
      <c r="L1061" s="45"/>
      <c r="M1061" s="45"/>
      <c r="N1061" s="137"/>
      <c r="O1061" s="137"/>
    </row>
    <row r="1062" customHeight="1" spans="3:15">
      <c r="C1062" s="12"/>
      <c r="D1062" s="12"/>
      <c r="E1062" s="26"/>
      <c r="F1062" s="26"/>
      <c r="G1062" s="26"/>
      <c r="H1062" s="26"/>
      <c r="I1062" s="26"/>
      <c r="J1062" s="26"/>
      <c r="L1062" s="45"/>
      <c r="M1062" s="45"/>
      <c r="N1062" s="137"/>
      <c r="O1062" s="137"/>
    </row>
    <row r="1063" customHeight="1" spans="3:15">
      <c r="C1063" s="12"/>
      <c r="D1063" s="12"/>
      <c r="E1063" s="26"/>
      <c r="F1063" s="26"/>
      <c r="G1063" s="26"/>
      <c r="H1063" s="26"/>
      <c r="I1063" s="26"/>
      <c r="J1063" s="26"/>
      <c r="L1063" s="45"/>
      <c r="M1063" s="45"/>
      <c r="N1063" s="137"/>
      <c r="O1063" s="137"/>
    </row>
    <row r="1064" customHeight="1" spans="3:15">
      <c r="C1064" s="12"/>
      <c r="D1064" s="12"/>
      <c r="E1064" s="26"/>
      <c r="F1064" s="26"/>
      <c r="G1064" s="26"/>
      <c r="H1064" s="26"/>
      <c r="I1064" s="26"/>
      <c r="J1064" s="26"/>
      <c r="L1064" s="45"/>
      <c r="M1064" s="45"/>
      <c r="N1064" s="137"/>
      <c r="O1064" s="137"/>
    </row>
    <row r="1065" customHeight="1" spans="3:15">
      <c r="C1065" s="12"/>
      <c r="D1065" s="12"/>
      <c r="E1065" s="26"/>
      <c r="F1065" s="26"/>
      <c r="G1065" s="26"/>
      <c r="H1065" s="26"/>
      <c r="I1065" s="26"/>
      <c r="J1065" s="26"/>
      <c r="L1065" s="45"/>
      <c r="M1065" s="45"/>
      <c r="N1065" s="137"/>
      <c r="O1065" s="137"/>
    </row>
    <row r="1066" customHeight="1" spans="3:15">
      <c r="C1066" s="12"/>
      <c r="D1066" s="12"/>
      <c r="E1066" s="26"/>
      <c r="F1066" s="26"/>
      <c r="G1066" s="26"/>
      <c r="H1066" s="26"/>
      <c r="I1066" s="26"/>
      <c r="J1066" s="26"/>
      <c r="L1066" s="45"/>
      <c r="M1066" s="45"/>
      <c r="N1066" s="137"/>
      <c r="O1066" s="137"/>
    </row>
    <row r="1067" customHeight="1" spans="3:15">
      <c r="C1067" s="12"/>
      <c r="D1067" s="12"/>
      <c r="E1067" s="26"/>
      <c r="F1067" s="26"/>
      <c r="G1067" s="26"/>
      <c r="H1067" s="26"/>
      <c r="I1067" s="26"/>
      <c r="J1067" s="26"/>
      <c r="L1067" s="45"/>
      <c r="M1067" s="45"/>
      <c r="N1067" s="137"/>
      <c r="O1067" s="137"/>
    </row>
    <row r="1068" customHeight="1" spans="3:15">
      <c r="C1068" s="12"/>
      <c r="D1068" s="12"/>
      <c r="E1068" s="26"/>
      <c r="F1068" s="26"/>
      <c r="G1068" s="26"/>
      <c r="H1068" s="26"/>
      <c r="I1068" s="26"/>
      <c r="J1068" s="26"/>
      <c r="L1068" s="45"/>
      <c r="M1068" s="45"/>
      <c r="N1068" s="137"/>
      <c r="O1068" s="137"/>
    </row>
    <row r="1069" customHeight="1" spans="3:15">
      <c r="C1069" s="12"/>
      <c r="D1069" s="12"/>
      <c r="E1069" s="26"/>
      <c r="F1069" s="26"/>
      <c r="G1069" s="26"/>
      <c r="H1069" s="26"/>
      <c r="I1069" s="26"/>
      <c r="J1069" s="26"/>
      <c r="L1069" s="45"/>
      <c r="M1069" s="45"/>
      <c r="N1069" s="137"/>
      <c r="O1069" s="137"/>
    </row>
    <row r="1070" customHeight="1" spans="3:15">
      <c r="C1070" s="12"/>
      <c r="D1070" s="12"/>
      <c r="E1070" s="26"/>
      <c r="F1070" s="26"/>
      <c r="G1070" s="26"/>
      <c r="H1070" s="26"/>
      <c r="I1070" s="26"/>
      <c r="J1070" s="26"/>
      <c r="L1070" s="45"/>
      <c r="M1070" s="45"/>
      <c r="N1070" s="137"/>
      <c r="O1070" s="137"/>
    </row>
    <row r="1071" customHeight="1" spans="3:15">
      <c r="C1071" s="12"/>
      <c r="D1071" s="12"/>
      <c r="E1071" s="26"/>
      <c r="F1071" s="26"/>
      <c r="G1071" s="26"/>
      <c r="H1071" s="26"/>
      <c r="I1071" s="26"/>
      <c r="J1071" s="26"/>
      <c r="L1071" s="45"/>
      <c r="M1071" s="45"/>
      <c r="N1071" s="137"/>
      <c r="O1071" s="137"/>
    </row>
    <row r="1072" customHeight="1" spans="3:15">
      <c r="C1072" s="12"/>
      <c r="D1072" s="12"/>
      <c r="E1072" s="26"/>
      <c r="F1072" s="26"/>
      <c r="G1072" s="26"/>
      <c r="H1072" s="26"/>
      <c r="I1072" s="26"/>
      <c r="J1072" s="26"/>
      <c r="L1072" s="45"/>
      <c r="M1072" s="45"/>
      <c r="N1072" s="137"/>
      <c r="O1072" s="137"/>
    </row>
    <row r="1073" customHeight="1" spans="3:15">
      <c r="C1073" s="12"/>
      <c r="D1073" s="12"/>
      <c r="E1073" s="26"/>
      <c r="F1073" s="26"/>
      <c r="G1073" s="26"/>
      <c r="H1073" s="26"/>
      <c r="I1073" s="26"/>
      <c r="J1073" s="26"/>
      <c r="L1073" s="45"/>
      <c r="M1073" s="45"/>
      <c r="N1073" s="137"/>
      <c r="O1073" s="137"/>
    </row>
    <row r="1074" customHeight="1" spans="3:15">
      <c r="C1074" s="12"/>
      <c r="D1074" s="12"/>
      <c r="E1074" s="26"/>
      <c r="F1074" s="26"/>
      <c r="G1074" s="26"/>
      <c r="H1074" s="26"/>
      <c r="I1074" s="26"/>
      <c r="J1074" s="26"/>
      <c r="L1074" s="45"/>
      <c r="M1074" s="45"/>
      <c r="N1074" s="137"/>
      <c r="O1074" s="137"/>
    </row>
    <row r="1075" customHeight="1" spans="3:15">
      <c r="C1075" s="12"/>
      <c r="D1075" s="12"/>
      <c r="E1075" s="26"/>
      <c r="F1075" s="26"/>
      <c r="G1075" s="26"/>
      <c r="H1075" s="26"/>
      <c r="I1075" s="26"/>
      <c r="J1075" s="26"/>
      <c r="L1075" s="45"/>
      <c r="M1075" s="45"/>
      <c r="N1075" s="137"/>
      <c r="O1075" s="137"/>
    </row>
    <row r="1076" customHeight="1" spans="3:15">
      <c r="C1076" s="12"/>
      <c r="D1076" s="12"/>
      <c r="E1076" s="26"/>
      <c r="F1076" s="26"/>
      <c r="G1076" s="26"/>
      <c r="H1076" s="26"/>
      <c r="I1076" s="26"/>
      <c r="J1076" s="26"/>
      <c r="L1076" s="45"/>
      <c r="M1076" s="45"/>
      <c r="N1076" s="137"/>
      <c r="O1076" s="137"/>
    </row>
    <row r="1077" customHeight="1" spans="3:15">
      <c r="C1077" s="12"/>
      <c r="D1077" s="12"/>
      <c r="E1077" s="26"/>
      <c r="F1077" s="26"/>
      <c r="G1077" s="26"/>
      <c r="H1077" s="26"/>
      <c r="I1077" s="26"/>
      <c r="J1077" s="26"/>
      <c r="L1077" s="45"/>
      <c r="M1077" s="45"/>
      <c r="N1077" s="137"/>
      <c r="O1077" s="137"/>
    </row>
    <row r="1078" customHeight="1" spans="3:15">
      <c r="C1078" s="12"/>
      <c r="D1078" s="12"/>
      <c r="E1078" s="26"/>
      <c r="F1078" s="26"/>
      <c r="G1078" s="26"/>
      <c r="H1078" s="26"/>
      <c r="I1078" s="26"/>
      <c r="J1078" s="26"/>
      <c r="L1078" s="45"/>
      <c r="M1078" s="45"/>
      <c r="N1078" s="137"/>
      <c r="O1078" s="137"/>
    </row>
    <row r="1079" customHeight="1" spans="3:15">
      <c r="C1079" s="12"/>
      <c r="D1079" s="12"/>
      <c r="E1079" s="26"/>
      <c r="F1079" s="26"/>
      <c r="G1079" s="26"/>
      <c r="H1079" s="26"/>
      <c r="I1079" s="26"/>
      <c r="J1079" s="26"/>
      <c r="L1079" s="45"/>
      <c r="M1079" s="45"/>
      <c r="N1079" s="137"/>
      <c r="O1079" s="137"/>
    </row>
    <row r="1080" customHeight="1" spans="3:15">
      <c r="C1080" s="12"/>
      <c r="D1080" s="12"/>
      <c r="E1080" s="26"/>
      <c r="F1080" s="26"/>
      <c r="G1080" s="26"/>
      <c r="H1080" s="26"/>
      <c r="I1080" s="26"/>
      <c r="J1080" s="26"/>
      <c r="L1080" s="45"/>
      <c r="M1080" s="45"/>
      <c r="N1080" s="137"/>
      <c r="O1080" s="137"/>
    </row>
    <row r="1081" customHeight="1" spans="3:15">
      <c r="C1081" s="12"/>
      <c r="D1081" s="12"/>
      <c r="E1081" s="26"/>
      <c r="F1081" s="26"/>
      <c r="G1081" s="26"/>
      <c r="H1081" s="26"/>
      <c r="I1081" s="26"/>
      <c r="J1081" s="26"/>
      <c r="L1081" s="45"/>
      <c r="M1081" s="45"/>
      <c r="N1081" s="137"/>
      <c r="O1081" s="137"/>
    </row>
    <row r="1082" customHeight="1" spans="3:15">
      <c r="C1082" s="12"/>
      <c r="D1082" s="12"/>
      <c r="E1082" s="26"/>
      <c r="F1082" s="26"/>
      <c r="G1082" s="26"/>
      <c r="H1082" s="26"/>
      <c r="I1082" s="26"/>
      <c r="J1082" s="26"/>
      <c r="L1082" s="45"/>
      <c r="M1082" s="45"/>
      <c r="N1082" s="137"/>
      <c r="O1082" s="137"/>
    </row>
    <row r="1083" customHeight="1" spans="3:15">
      <c r="C1083" s="12"/>
      <c r="D1083" s="12"/>
      <c r="E1083" s="26"/>
      <c r="F1083" s="26"/>
      <c r="G1083" s="26"/>
      <c r="H1083" s="26"/>
      <c r="I1083" s="26"/>
      <c r="J1083" s="26"/>
      <c r="L1083" s="45"/>
      <c r="M1083" s="45"/>
      <c r="N1083" s="137"/>
      <c r="O1083" s="137"/>
    </row>
    <row r="1084" customHeight="1" spans="3:15">
      <c r="C1084" s="12"/>
      <c r="D1084" s="12"/>
      <c r="E1084" s="26"/>
      <c r="F1084" s="26"/>
      <c r="G1084" s="26"/>
      <c r="H1084" s="26"/>
      <c r="I1084" s="26"/>
      <c r="J1084" s="26"/>
      <c r="L1084" s="45"/>
      <c r="M1084" s="45"/>
      <c r="N1084" s="137"/>
      <c r="O1084" s="137"/>
    </row>
    <row r="1085" customHeight="1" spans="3:15">
      <c r="C1085" s="12"/>
      <c r="D1085" s="12"/>
      <c r="E1085" s="26"/>
      <c r="F1085" s="26"/>
      <c r="G1085" s="26"/>
      <c r="H1085" s="26"/>
      <c r="I1085" s="26"/>
      <c r="J1085" s="26"/>
      <c r="L1085" s="45"/>
      <c r="M1085" s="45"/>
      <c r="N1085" s="137"/>
      <c r="O1085" s="137"/>
    </row>
    <row r="1086" customHeight="1" spans="3:15">
      <c r="C1086" s="12"/>
      <c r="D1086" s="12"/>
      <c r="E1086" s="26"/>
      <c r="F1086" s="26"/>
      <c r="G1086" s="26"/>
      <c r="H1086" s="26"/>
      <c r="I1086" s="26"/>
      <c r="J1086" s="26"/>
      <c r="L1086" s="45"/>
      <c r="M1086" s="45"/>
      <c r="N1086" s="137"/>
      <c r="O1086" s="137"/>
    </row>
    <row r="1087" customHeight="1" spans="3:15">
      <c r="C1087" s="12"/>
      <c r="D1087" s="12"/>
      <c r="E1087" s="26"/>
      <c r="F1087" s="26"/>
      <c r="G1087" s="26"/>
      <c r="H1087" s="26"/>
      <c r="I1087" s="26"/>
      <c r="J1087" s="26"/>
      <c r="L1087" s="45"/>
      <c r="M1087" s="45"/>
      <c r="N1087" s="137"/>
      <c r="O1087" s="137"/>
    </row>
    <row r="1088" customHeight="1" spans="3:15">
      <c r="C1088" s="12"/>
      <c r="D1088" s="12"/>
      <c r="E1088" s="26"/>
      <c r="F1088" s="26"/>
      <c r="G1088" s="26"/>
      <c r="H1088" s="26"/>
      <c r="I1088" s="26"/>
      <c r="J1088" s="26"/>
      <c r="L1088" s="45"/>
      <c r="M1088" s="45"/>
      <c r="N1088" s="137"/>
      <c r="O1088" s="137"/>
    </row>
    <row r="1089" customHeight="1" spans="3:15">
      <c r="C1089" s="12"/>
      <c r="D1089" s="12"/>
      <c r="E1089" s="26"/>
      <c r="F1089" s="26"/>
      <c r="G1089" s="26"/>
      <c r="H1089" s="26"/>
      <c r="I1089" s="26"/>
      <c r="J1089" s="26"/>
      <c r="L1089" s="45"/>
      <c r="M1089" s="45"/>
      <c r="N1089" s="137"/>
      <c r="O1089" s="137"/>
    </row>
    <row r="1090" customHeight="1" spans="3:15">
      <c r="C1090" s="12"/>
      <c r="D1090" s="12"/>
      <c r="E1090" s="26"/>
      <c r="F1090" s="26"/>
      <c r="G1090" s="26"/>
      <c r="H1090" s="26"/>
      <c r="I1090" s="26"/>
      <c r="J1090" s="26"/>
      <c r="L1090" s="45"/>
      <c r="M1090" s="45"/>
      <c r="N1090" s="137"/>
      <c r="O1090" s="137"/>
    </row>
    <row r="1091" customHeight="1" spans="3:15">
      <c r="C1091" s="12"/>
      <c r="D1091" s="12"/>
      <c r="E1091" s="26"/>
      <c r="F1091" s="26"/>
      <c r="G1091" s="26"/>
      <c r="H1091" s="26"/>
      <c r="I1091" s="26"/>
      <c r="J1091" s="26"/>
      <c r="L1091" s="45"/>
      <c r="M1091" s="45"/>
      <c r="N1091" s="137"/>
      <c r="O1091" s="137"/>
    </row>
    <row r="1092" customHeight="1" spans="3:15">
      <c r="C1092" s="12"/>
      <c r="D1092" s="12"/>
      <c r="E1092" s="26"/>
      <c r="F1092" s="26"/>
      <c r="G1092" s="26"/>
      <c r="H1092" s="26"/>
      <c r="I1092" s="26"/>
      <c r="J1092" s="26"/>
      <c r="L1092" s="45"/>
      <c r="M1092" s="45"/>
      <c r="N1092" s="137"/>
      <c r="O1092" s="137"/>
    </row>
    <row r="1093" customHeight="1" spans="3:15">
      <c r="C1093" s="12"/>
      <c r="D1093" s="12"/>
      <c r="E1093" s="26"/>
      <c r="F1093" s="26"/>
      <c r="G1093" s="26"/>
      <c r="H1093" s="26"/>
      <c r="I1093" s="26"/>
      <c r="J1093" s="26"/>
      <c r="L1093" s="45"/>
      <c r="M1093" s="45"/>
      <c r="N1093" s="137"/>
      <c r="O1093" s="137"/>
    </row>
    <row r="1094" customHeight="1" spans="3:15">
      <c r="C1094" s="12"/>
      <c r="D1094" s="12"/>
      <c r="E1094" s="26"/>
      <c r="F1094" s="26"/>
      <c r="G1094" s="26"/>
      <c r="H1094" s="26"/>
      <c r="I1094" s="26"/>
      <c r="J1094" s="26"/>
      <c r="L1094" s="45"/>
      <c r="M1094" s="45"/>
      <c r="N1094" s="137"/>
      <c r="O1094" s="137"/>
    </row>
    <row r="1095" customHeight="1" spans="3:15">
      <c r="C1095" s="12"/>
      <c r="D1095" s="12"/>
      <c r="E1095" s="26"/>
      <c r="F1095" s="26"/>
      <c r="G1095" s="26"/>
      <c r="H1095" s="26"/>
      <c r="I1095" s="26"/>
      <c r="J1095" s="26"/>
      <c r="L1095" s="45"/>
      <c r="M1095" s="45"/>
      <c r="N1095" s="137"/>
      <c r="O1095" s="137"/>
    </row>
    <row r="1096" customHeight="1" spans="3:15">
      <c r="C1096" s="12"/>
      <c r="D1096" s="12"/>
      <c r="E1096" s="26"/>
      <c r="F1096" s="26"/>
      <c r="G1096" s="26"/>
      <c r="H1096" s="26"/>
      <c r="I1096" s="26"/>
      <c r="J1096" s="26"/>
      <c r="L1096" s="45"/>
      <c r="M1096" s="45"/>
      <c r="N1096" s="137"/>
      <c r="O1096" s="137"/>
    </row>
    <row r="1097" customHeight="1" spans="3:15">
      <c r="C1097" s="12"/>
      <c r="D1097" s="12"/>
      <c r="E1097" s="26"/>
      <c r="F1097" s="26"/>
      <c r="G1097" s="26"/>
      <c r="H1097" s="26"/>
      <c r="I1097" s="26"/>
      <c r="J1097" s="26"/>
      <c r="L1097" s="45"/>
      <c r="M1097" s="45"/>
      <c r="N1097" s="137"/>
      <c r="O1097" s="137"/>
    </row>
    <row r="1098" customHeight="1" spans="3:15">
      <c r="C1098" s="12"/>
      <c r="D1098" s="12"/>
      <c r="E1098" s="26"/>
      <c r="F1098" s="26"/>
      <c r="G1098" s="26"/>
      <c r="H1098" s="26"/>
      <c r="I1098" s="26"/>
      <c r="J1098" s="26"/>
      <c r="L1098" s="45"/>
      <c r="M1098" s="45"/>
      <c r="N1098" s="137"/>
      <c r="O1098" s="137"/>
    </row>
    <row r="1099" customHeight="1" spans="3:15">
      <c r="C1099" s="12"/>
      <c r="D1099" s="12"/>
      <c r="E1099" s="26"/>
      <c r="F1099" s="26"/>
      <c r="G1099" s="26"/>
      <c r="H1099" s="26"/>
      <c r="I1099" s="26"/>
      <c r="J1099" s="26"/>
      <c r="L1099" s="45"/>
      <c r="M1099" s="45"/>
      <c r="N1099" s="137"/>
      <c r="O1099" s="137"/>
    </row>
    <row r="1100" customHeight="1" spans="3:15">
      <c r="C1100" s="12"/>
      <c r="D1100" s="12"/>
      <c r="E1100" s="26"/>
      <c r="F1100" s="26"/>
      <c r="G1100" s="26"/>
      <c r="H1100" s="26"/>
      <c r="I1100" s="26"/>
      <c r="J1100" s="26"/>
      <c r="L1100" s="45"/>
      <c r="M1100" s="45"/>
      <c r="N1100" s="137"/>
      <c r="O1100" s="137"/>
    </row>
    <row r="1101" customHeight="1" spans="3:15">
      <c r="C1101" s="12"/>
      <c r="D1101" s="12"/>
      <c r="E1101" s="26"/>
      <c r="F1101" s="26"/>
      <c r="G1101" s="26"/>
      <c r="H1101" s="26"/>
      <c r="I1101" s="26"/>
      <c r="J1101" s="26"/>
      <c r="L1101" s="45"/>
      <c r="M1101" s="45"/>
      <c r="N1101" s="137"/>
      <c r="O1101" s="137"/>
    </row>
    <row r="1102" customHeight="1" spans="3:15">
      <c r="C1102" s="12"/>
      <c r="D1102" s="12"/>
      <c r="E1102" s="26"/>
      <c r="F1102" s="26"/>
      <c r="G1102" s="26"/>
      <c r="H1102" s="26"/>
      <c r="I1102" s="26"/>
      <c r="J1102" s="26"/>
      <c r="L1102" s="45"/>
      <c r="M1102" s="45"/>
      <c r="N1102" s="137"/>
      <c r="O1102" s="137"/>
    </row>
    <row r="1103" customHeight="1" spans="3:15">
      <c r="C1103" s="12"/>
      <c r="D1103" s="12"/>
      <c r="E1103" s="26"/>
      <c r="F1103" s="26"/>
      <c r="G1103" s="26"/>
      <c r="H1103" s="26"/>
      <c r="I1103" s="26"/>
      <c r="J1103" s="26"/>
      <c r="L1103" s="45"/>
      <c r="M1103" s="45"/>
      <c r="N1103" s="137"/>
      <c r="O1103" s="137"/>
    </row>
    <row r="1104" customHeight="1" spans="3:15">
      <c r="C1104" s="12"/>
      <c r="D1104" s="12"/>
      <c r="E1104" s="26"/>
      <c r="F1104" s="26"/>
      <c r="G1104" s="26"/>
      <c r="H1104" s="26"/>
      <c r="I1104" s="26"/>
      <c r="J1104" s="26"/>
      <c r="L1104" s="45"/>
      <c r="M1104" s="45"/>
      <c r="N1104" s="137"/>
      <c r="O1104" s="137"/>
    </row>
    <row r="1105" customHeight="1" spans="3:15">
      <c r="C1105" s="12"/>
      <c r="D1105" s="12"/>
      <c r="E1105" s="26"/>
      <c r="F1105" s="26"/>
      <c r="G1105" s="26"/>
      <c r="H1105" s="26"/>
      <c r="I1105" s="26"/>
      <c r="J1105" s="26"/>
      <c r="L1105" s="45"/>
      <c r="M1105" s="45"/>
      <c r="N1105" s="137"/>
      <c r="O1105" s="137"/>
    </row>
    <row r="1106" customHeight="1" spans="3:15">
      <c r="C1106" s="12"/>
      <c r="D1106" s="12"/>
      <c r="E1106" s="26"/>
      <c r="F1106" s="26"/>
      <c r="G1106" s="26"/>
      <c r="H1106" s="26"/>
      <c r="I1106" s="26"/>
      <c r="J1106" s="26"/>
      <c r="L1106" s="45"/>
      <c r="M1106" s="45"/>
      <c r="N1106" s="137"/>
      <c r="O1106" s="137"/>
    </row>
    <row r="1107" customHeight="1" spans="3:15">
      <c r="C1107" s="12"/>
      <c r="D1107" s="12"/>
      <c r="E1107" s="26"/>
      <c r="F1107" s="26"/>
      <c r="G1107" s="26"/>
      <c r="H1107" s="26"/>
      <c r="I1107" s="26"/>
      <c r="J1107" s="26"/>
      <c r="L1107" s="45"/>
      <c r="M1107" s="45"/>
      <c r="N1107" s="137"/>
      <c r="O1107" s="137"/>
    </row>
    <row r="1108" customHeight="1" spans="3:15">
      <c r="C1108" s="12"/>
      <c r="D1108" s="12"/>
      <c r="E1108" s="26"/>
      <c r="F1108" s="26"/>
      <c r="G1108" s="26"/>
      <c r="H1108" s="26"/>
      <c r="I1108" s="26"/>
      <c r="J1108" s="26"/>
      <c r="L1108" s="45"/>
      <c r="M1108" s="45"/>
      <c r="N1108" s="137"/>
      <c r="O1108" s="137"/>
    </row>
    <row r="1109" customHeight="1" spans="3:15">
      <c r="C1109" s="12"/>
      <c r="D1109" s="12"/>
      <c r="E1109" s="26"/>
      <c r="F1109" s="26"/>
      <c r="G1109" s="26"/>
      <c r="H1109" s="26"/>
      <c r="I1109" s="26"/>
      <c r="J1109" s="26"/>
      <c r="L1109" s="45"/>
      <c r="M1109" s="45"/>
      <c r="N1109" s="137"/>
      <c r="O1109" s="137"/>
    </row>
    <row r="1110" customHeight="1" spans="3:15">
      <c r="C1110" s="12"/>
      <c r="D1110" s="12"/>
      <c r="E1110" s="26"/>
      <c r="F1110" s="26"/>
      <c r="G1110" s="26"/>
      <c r="H1110" s="26"/>
      <c r="I1110" s="26"/>
      <c r="J1110" s="26"/>
      <c r="L1110" s="45"/>
      <c r="M1110" s="45"/>
      <c r="N1110" s="137"/>
      <c r="O1110" s="137"/>
    </row>
    <row r="1111" customHeight="1" spans="3:15">
      <c r="C1111" s="12"/>
      <c r="D1111" s="12"/>
      <c r="E1111" s="26"/>
      <c r="F1111" s="26"/>
      <c r="G1111" s="26"/>
      <c r="H1111" s="26"/>
      <c r="I1111" s="26"/>
      <c r="J1111" s="26"/>
      <c r="L1111" s="45"/>
      <c r="M1111" s="45"/>
      <c r="N1111" s="137"/>
      <c r="O1111" s="137"/>
    </row>
    <row r="1112" customHeight="1" spans="3:15">
      <c r="C1112" s="12"/>
      <c r="D1112" s="12"/>
      <c r="E1112" s="26"/>
      <c r="F1112" s="26"/>
      <c r="G1112" s="26"/>
      <c r="H1112" s="26"/>
      <c r="I1112" s="26"/>
      <c r="J1112" s="26"/>
      <c r="L1112" s="45"/>
      <c r="M1112" s="45"/>
      <c r="N1112" s="137"/>
      <c r="O1112" s="137"/>
    </row>
    <row r="1113" customHeight="1" spans="3:15">
      <c r="C1113" s="12"/>
      <c r="D1113" s="12"/>
      <c r="E1113" s="26"/>
      <c r="F1113" s="26"/>
      <c r="G1113" s="26"/>
      <c r="H1113" s="26"/>
      <c r="I1113" s="26"/>
      <c r="J1113" s="26"/>
      <c r="L1113" s="45"/>
      <c r="M1113" s="45"/>
      <c r="N1113" s="137"/>
      <c r="O1113" s="137"/>
    </row>
    <row r="1114" customHeight="1" spans="3:15">
      <c r="C1114" s="12"/>
      <c r="D1114" s="12"/>
      <c r="E1114" s="26"/>
      <c r="F1114" s="26"/>
      <c r="G1114" s="26"/>
      <c r="H1114" s="26"/>
      <c r="I1114" s="26"/>
      <c r="J1114" s="26"/>
      <c r="L1114" s="45"/>
      <c r="M1114" s="45"/>
      <c r="N1114" s="137"/>
      <c r="O1114" s="137"/>
    </row>
    <row r="1115" customHeight="1" spans="3:15">
      <c r="C1115" s="12"/>
      <c r="D1115" s="12"/>
      <c r="E1115" s="26"/>
      <c r="F1115" s="26"/>
      <c r="G1115" s="26"/>
      <c r="H1115" s="26"/>
      <c r="I1115" s="26"/>
      <c r="J1115" s="26"/>
      <c r="L1115" s="45"/>
      <c r="M1115" s="45"/>
      <c r="N1115" s="137"/>
      <c r="O1115" s="137"/>
    </row>
    <row r="1116" customHeight="1" spans="3:15">
      <c r="C1116" s="12"/>
      <c r="D1116" s="12"/>
      <c r="E1116" s="26"/>
      <c r="F1116" s="26"/>
      <c r="G1116" s="26"/>
      <c r="H1116" s="26"/>
      <c r="I1116" s="26"/>
      <c r="J1116" s="26"/>
      <c r="L1116" s="45"/>
      <c r="M1116" s="45"/>
      <c r="N1116" s="137"/>
      <c r="O1116" s="137"/>
    </row>
    <row r="1117" customHeight="1" spans="3:15">
      <c r="C1117" s="12"/>
      <c r="D1117" s="12"/>
      <c r="E1117" s="26"/>
      <c r="F1117" s="26"/>
      <c r="G1117" s="26"/>
      <c r="H1117" s="26"/>
      <c r="I1117" s="26"/>
      <c r="J1117" s="26"/>
      <c r="L1117" s="45"/>
      <c r="M1117" s="45"/>
      <c r="N1117" s="137"/>
      <c r="O1117" s="137"/>
    </row>
    <row r="1118" customHeight="1" spans="3:15">
      <c r="C1118" s="12"/>
      <c r="D1118" s="12"/>
      <c r="E1118" s="26"/>
      <c r="F1118" s="26"/>
      <c r="G1118" s="26"/>
      <c r="H1118" s="26"/>
      <c r="I1118" s="26"/>
      <c r="J1118" s="26"/>
      <c r="L1118" s="45"/>
      <c r="M1118" s="45"/>
      <c r="N1118" s="137"/>
      <c r="O1118" s="137"/>
    </row>
    <row r="1119" customHeight="1" spans="3:15">
      <c r="C1119" s="12"/>
      <c r="D1119" s="12"/>
      <c r="E1119" s="26"/>
      <c r="F1119" s="26"/>
      <c r="G1119" s="26"/>
      <c r="H1119" s="26"/>
      <c r="I1119" s="26"/>
      <c r="J1119" s="26"/>
      <c r="L1119" s="45"/>
      <c r="M1119" s="45"/>
      <c r="N1119" s="137"/>
      <c r="O1119" s="137"/>
    </row>
    <row r="1120" customHeight="1" spans="3:15">
      <c r="C1120" s="12"/>
      <c r="D1120" s="12"/>
      <c r="E1120" s="26"/>
      <c r="F1120" s="26"/>
      <c r="G1120" s="26"/>
      <c r="H1120" s="26"/>
      <c r="I1120" s="26"/>
      <c r="J1120" s="26"/>
      <c r="L1120" s="45"/>
      <c r="M1120" s="45"/>
      <c r="N1120" s="137"/>
      <c r="O1120" s="137"/>
    </row>
    <row r="1121" customHeight="1" spans="3:15">
      <c r="C1121" s="12"/>
      <c r="D1121" s="12"/>
      <c r="E1121" s="26"/>
      <c r="F1121" s="26"/>
      <c r="G1121" s="26"/>
      <c r="H1121" s="26"/>
      <c r="I1121" s="26"/>
      <c r="J1121" s="26"/>
      <c r="L1121" s="45"/>
      <c r="M1121" s="45"/>
      <c r="N1121" s="137"/>
      <c r="O1121" s="137"/>
    </row>
    <row r="1122" customHeight="1" spans="3:15">
      <c r="C1122" s="12"/>
      <c r="D1122" s="12"/>
      <c r="E1122" s="26"/>
      <c r="F1122" s="26"/>
      <c r="G1122" s="26"/>
      <c r="H1122" s="26"/>
      <c r="I1122" s="26"/>
      <c r="J1122" s="26"/>
      <c r="L1122" s="45"/>
      <c r="M1122" s="45"/>
      <c r="N1122" s="137"/>
      <c r="O1122" s="137"/>
    </row>
    <row r="1123" customHeight="1" spans="3:15">
      <c r="C1123" s="12"/>
      <c r="D1123" s="12"/>
      <c r="E1123" s="26"/>
      <c r="F1123" s="26"/>
      <c r="G1123" s="26"/>
      <c r="H1123" s="26"/>
      <c r="I1123" s="26"/>
      <c r="J1123" s="26"/>
      <c r="L1123" s="45"/>
      <c r="M1123" s="45"/>
      <c r="N1123" s="137"/>
      <c r="O1123" s="137"/>
    </row>
    <row r="1124" customHeight="1" spans="3:15">
      <c r="C1124" s="12"/>
      <c r="D1124" s="12"/>
      <c r="E1124" s="26"/>
      <c r="F1124" s="26"/>
      <c r="G1124" s="26"/>
      <c r="H1124" s="26"/>
      <c r="I1124" s="26"/>
      <c r="J1124" s="26"/>
      <c r="L1124" s="45"/>
      <c r="M1124" s="45"/>
      <c r="N1124" s="137"/>
      <c r="O1124" s="137"/>
    </row>
    <row r="1125" customHeight="1" spans="3:15">
      <c r="C1125" s="12"/>
      <c r="D1125" s="12"/>
      <c r="E1125" s="26"/>
      <c r="F1125" s="26"/>
      <c r="G1125" s="26"/>
      <c r="H1125" s="26"/>
      <c r="I1125" s="26"/>
      <c r="J1125" s="26"/>
      <c r="L1125" s="45"/>
      <c r="M1125" s="45"/>
      <c r="N1125" s="137"/>
      <c r="O1125" s="137"/>
    </row>
    <row r="1126" customHeight="1" spans="3:15">
      <c r="C1126" s="12"/>
      <c r="D1126" s="12"/>
      <c r="E1126" s="26"/>
      <c r="F1126" s="26"/>
      <c r="G1126" s="26"/>
      <c r="H1126" s="26"/>
      <c r="I1126" s="26"/>
      <c r="J1126" s="26"/>
      <c r="L1126" s="45"/>
      <c r="M1126" s="45"/>
      <c r="N1126" s="137"/>
      <c r="O1126" s="137"/>
    </row>
    <row r="1127" customHeight="1" spans="3:15">
      <c r="C1127" s="12"/>
      <c r="D1127" s="12"/>
      <c r="E1127" s="26"/>
      <c r="F1127" s="26"/>
      <c r="G1127" s="26"/>
      <c r="H1127" s="26"/>
      <c r="I1127" s="26"/>
      <c r="J1127" s="26"/>
      <c r="L1127" s="45"/>
      <c r="M1127" s="45"/>
      <c r="N1127" s="137"/>
      <c r="O1127" s="137"/>
    </row>
    <row r="1128" customHeight="1" spans="3:15">
      <c r="C1128" s="12"/>
      <c r="D1128" s="12"/>
      <c r="E1128" s="26"/>
      <c r="F1128" s="26"/>
      <c r="G1128" s="26"/>
      <c r="H1128" s="26"/>
      <c r="I1128" s="26"/>
      <c r="J1128" s="26"/>
      <c r="L1128" s="45"/>
      <c r="M1128" s="45"/>
      <c r="N1128" s="137"/>
      <c r="O1128" s="137"/>
    </row>
    <row r="1129" customHeight="1" spans="3:15">
      <c r="C1129" s="12"/>
      <c r="D1129" s="12"/>
      <c r="E1129" s="26"/>
      <c r="F1129" s="26"/>
      <c r="G1129" s="26"/>
      <c r="H1129" s="26"/>
      <c r="I1129" s="26"/>
      <c r="J1129" s="26"/>
      <c r="L1129" s="45"/>
      <c r="M1129" s="45"/>
      <c r="N1129" s="137"/>
      <c r="O1129" s="137"/>
    </row>
    <row r="1130" customHeight="1" spans="3:15">
      <c r="C1130" s="12"/>
      <c r="D1130" s="12"/>
      <c r="E1130" s="26"/>
      <c r="F1130" s="26"/>
      <c r="G1130" s="26"/>
      <c r="H1130" s="26"/>
      <c r="I1130" s="26"/>
      <c r="J1130" s="26"/>
      <c r="L1130" s="45"/>
      <c r="M1130" s="45"/>
      <c r="N1130" s="137"/>
      <c r="O1130" s="137"/>
    </row>
    <row r="1131" customHeight="1" spans="3:15">
      <c r="C1131" s="12"/>
      <c r="D1131" s="12"/>
      <c r="E1131" s="26"/>
      <c r="F1131" s="26"/>
      <c r="G1131" s="26"/>
      <c r="H1131" s="26"/>
      <c r="I1131" s="26"/>
      <c r="J1131" s="26"/>
      <c r="L1131" s="45"/>
      <c r="M1131" s="45"/>
      <c r="N1131" s="137"/>
      <c r="O1131" s="137"/>
    </row>
    <row r="1132" customHeight="1" spans="3:15">
      <c r="C1132" s="12"/>
      <c r="D1132" s="12"/>
      <c r="E1132" s="26"/>
      <c r="F1132" s="26"/>
      <c r="G1132" s="26"/>
      <c r="H1132" s="26"/>
      <c r="I1132" s="26"/>
      <c r="J1132" s="26"/>
      <c r="L1132" s="45"/>
      <c r="M1132" s="45"/>
      <c r="N1132" s="137"/>
      <c r="O1132" s="137"/>
    </row>
    <row r="1133" customHeight="1" spans="3:15">
      <c r="C1133" s="12"/>
      <c r="D1133" s="12"/>
      <c r="E1133" s="26"/>
      <c r="F1133" s="26"/>
      <c r="G1133" s="26"/>
      <c r="H1133" s="26"/>
      <c r="I1133" s="26"/>
      <c r="J1133" s="26"/>
      <c r="L1133" s="45"/>
      <c r="M1133" s="45"/>
      <c r="N1133" s="137"/>
      <c r="O1133" s="137"/>
    </row>
    <row r="1134" customHeight="1" spans="3:15">
      <c r="C1134" s="12"/>
      <c r="D1134" s="12"/>
      <c r="E1134" s="26"/>
      <c r="F1134" s="26"/>
      <c r="G1134" s="26"/>
      <c r="H1134" s="26"/>
      <c r="I1134" s="26"/>
      <c r="J1134" s="26"/>
      <c r="L1134" s="45"/>
      <c r="M1134" s="45"/>
      <c r="N1134" s="137"/>
      <c r="O1134" s="137"/>
    </row>
    <row r="1135" customHeight="1" spans="3:15">
      <c r="C1135" s="12"/>
      <c r="D1135" s="12"/>
      <c r="E1135" s="26"/>
      <c r="F1135" s="26"/>
      <c r="G1135" s="26"/>
      <c r="H1135" s="26"/>
      <c r="I1135" s="26"/>
      <c r="J1135" s="26"/>
      <c r="L1135" s="45"/>
      <c r="M1135" s="45"/>
      <c r="N1135" s="137"/>
      <c r="O1135" s="137"/>
    </row>
    <row r="1136" customHeight="1" spans="3:15">
      <c r="C1136" s="12"/>
      <c r="D1136" s="12"/>
      <c r="E1136" s="26"/>
      <c r="F1136" s="26"/>
      <c r="G1136" s="26"/>
      <c r="H1136" s="26"/>
      <c r="I1136" s="26"/>
      <c r="J1136" s="26"/>
      <c r="L1136" s="45"/>
      <c r="M1136" s="45"/>
      <c r="N1136" s="137"/>
      <c r="O1136" s="137"/>
    </row>
    <row r="1137" customHeight="1" spans="3:15">
      <c r="C1137" s="12"/>
      <c r="D1137" s="12"/>
      <c r="E1137" s="26"/>
      <c r="F1137" s="26"/>
      <c r="G1137" s="26"/>
      <c r="H1137" s="26"/>
      <c r="I1137" s="26"/>
      <c r="J1137" s="26"/>
      <c r="L1137" s="45"/>
      <c r="M1137" s="45"/>
      <c r="N1137" s="137"/>
      <c r="O1137" s="137"/>
    </row>
    <row r="1138" customHeight="1" spans="3:15">
      <c r="C1138" s="12"/>
      <c r="D1138" s="12"/>
      <c r="E1138" s="26"/>
      <c r="F1138" s="26"/>
      <c r="G1138" s="26"/>
      <c r="H1138" s="26"/>
      <c r="I1138" s="26"/>
      <c r="J1138" s="26"/>
      <c r="L1138" s="45"/>
      <c r="M1138" s="45"/>
      <c r="N1138" s="137"/>
      <c r="O1138" s="137"/>
    </row>
    <row r="1139" customHeight="1" spans="3:15">
      <c r="C1139" s="12"/>
      <c r="D1139" s="12"/>
      <c r="E1139" s="26"/>
      <c r="F1139" s="26"/>
      <c r="G1139" s="26"/>
      <c r="H1139" s="26"/>
      <c r="I1139" s="26"/>
      <c r="J1139" s="26"/>
      <c r="L1139" s="45"/>
      <c r="M1139" s="45"/>
      <c r="N1139" s="137"/>
      <c r="O1139" s="137"/>
    </row>
    <row r="1140" customHeight="1" spans="3:15">
      <c r="C1140" s="12"/>
      <c r="D1140" s="12"/>
      <c r="E1140" s="26"/>
      <c r="F1140" s="26"/>
      <c r="G1140" s="26"/>
      <c r="H1140" s="26"/>
      <c r="I1140" s="26"/>
      <c r="J1140" s="26"/>
      <c r="L1140" s="45"/>
      <c r="M1140" s="45"/>
      <c r="N1140" s="137"/>
      <c r="O1140" s="137"/>
    </row>
    <row r="1141" customHeight="1" spans="3:15">
      <c r="C1141" s="12"/>
      <c r="D1141" s="12"/>
      <c r="E1141" s="26"/>
      <c r="F1141" s="26"/>
      <c r="G1141" s="26"/>
      <c r="H1141" s="26"/>
      <c r="I1141" s="26"/>
      <c r="J1141" s="26"/>
      <c r="L1141" s="45"/>
      <c r="M1141" s="45"/>
      <c r="N1141" s="137"/>
      <c r="O1141" s="137"/>
    </row>
    <row r="1142" customHeight="1" spans="3:15">
      <c r="C1142" s="12"/>
      <c r="D1142" s="12"/>
      <c r="E1142" s="26"/>
      <c r="F1142" s="26"/>
      <c r="G1142" s="26"/>
      <c r="H1142" s="26"/>
      <c r="I1142" s="26"/>
      <c r="J1142" s="26"/>
      <c r="L1142" s="45"/>
      <c r="M1142" s="45"/>
      <c r="N1142" s="137"/>
      <c r="O1142" s="137"/>
    </row>
    <row r="1143" customHeight="1" spans="3:15">
      <c r="C1143" s="12"/>
      <c r="D1143" s="12"/>
      <c r="E1143" s="26"/>
      <c r="F1143" s="26"/>
      <c r="G1143" s="26"/>
      <c r="H1143" s="26"/>
      <c r="I1143" s="26"/>
      <c r="J1143" s="26"/>
      <c r="L1143" s="45"/>
      <c r="M1143" s="45"/>
      <c r="N1143" s="137"/>
      <c r="O1143" s="137"/>
    </row>
    <row r="1144" customHeight="1" spans="3:15">
      <c r="C1144" s="12"/>
      <c r="D1144" s="12"/>
      <c r="E1144" s="26"/>
      <c r="F1144" s="26"/>
      <c r="G1144" s="26"/>
      <c r="H1144" s="26"/>
      <c r="I1144" s="26"/>
      <c r="J1144" s="26"/>
      <c r="L1144" s="45"/>
      <c r="M1144" s="45"/>
      <c r="N1144" s="137"/>
      <c r="O1144" s="137"/>
    </row>
    <row r="1145" customHeight="1" spans="3:15">
      <c r="C1145" s="12"/>
      <c r="D1145" s="12"/>
      <c r="E1145" s="26"/>
      <c r="F1145" s="26"/>
      <c r="G1145" s="26"/>
      <c r="H1145" s="26"/>
      <c r="I1145" s="26"/>
      <c r="J1145" s="26"/>
      <c r="L1145" s="45"/>
      <c r="M1145" s="45"/>
      <c r="N1145" s="137"/>
      <c r="O1145" s="137"/>
    </row>
    <row r="1146" customHeight="1" spans="3:15">
      <c r="C1146" s="12"/>
      <c r="D1146" s="12"/>
      <c r="E1146" s="26"/>
      <c r="F1146" s="26"/>
      <c r="G1146" s="26"/>
      <c r="H1146" s="26"/>
      <c r="I1146" s="26"/>
      <c r="J1146" s="26"/>
      <c r="L1146" s="45"/>
      <c r="M1146" s="45"/>
      <c r="N1146" s="137"/>
      <c r="O1146" s="137"/>
    </row>
    <row r="1147" customHeight="1" spans="3:15">
      <c r="C1147" s="12"/>
      <c r="D1147" s="12"/>
      <c r="E1147" s="26"/>
      <c r="F1147" s="26"/>
      <c r="G1147" s="26"/>
      <c r="H1147" s="26"/>
      <c r="I1147" s="26"/>
      <c r="J1147" s="26"/>
      <c r="L1147" s="45"/>
      <c r="M1147" s="45"/>
      <c r="N1147" s="137"/>
      <c r="O1147" s="137"/>
    </row>
    <row r="1148" customHeight="1" spans="3:15">
      <c r="C1148" s="12"/>
      <c r="D1148" s="12"/>
      <c r="E1148" s="26"/>
      <c r="F1148" s="26"/>
      <c r="G1148" s="26"/>
      <c r="H1148" s="26"/>
      <c r="I1148" s="26"/>
      <c r="J1148" s="26"/>
      <c r="L1148" s="45"/>
      <c r="M1148" s="45"/>
      <c r="N1148" s="137"/>
      <c r="O1148" s="137"/>
    </row>
    <row r="1149" customHeight="1" spans="3:15">
      <c r="C1149" s="12"/>
      <c r="D1149" s="12"/>
      <c r="E1149" s="26"/>
      <c r="F1149" s="26"/>
      <c r="G1149" s="26"/>
      <c r="H1149" s="26"/>
      <c r="I1149" s="26"/>
      <c r="J1149" s="26"/>
      <c r="L1149" s="45"/>
      <c r="M1149" s="45"/>
      <c r="N1149" s="137"/>
      <c r="O1149" s="137"/>
    </row>
    <row r="1150" customHeight="1" spans="3:15">
      <c r="C1150" s="12"/>
      <c r="D1150" s="12"/>
      <c r="E1150" s="26"/>
      <c r="F1150" s="26"/>
      <c r="G1150" s="26"/>
      <c r="H1150" s="26"/>
      <c r="I1150" s="26"/>
      <c r="J1150" s="26"/>
      <c r="L1150" s="45"/>
      <c r="M1150" s="45"/>
      <c r="N1150" s="137"/>
      <c r="O1150" s="137"/>
    </row>
    <row r="1151" customHeight="1" spans="3:15">
      <c r="C1151" s="12"/>
      <c r="D1151" s="12"/>
      <c r="E1151" s="26"/>
      <c r="F1151" s="26"/>
      <c r="G1151" s="26"/>
      <c r="H1151" s="26"/>
      <c r="I1151" s="26"/>
      <c r="J1151" s="26"/>
      <c r="L1151" s="45"/>
      <c r="M1151" s="45"/>
      <c r="N1151" s="137"/>
      <c r="O1151" s="137"/>
    </row>
    <row r="1152" customHeight="1" spans="3:15">
      <c r="C1152" s="12"/>
      <c r="D1152" s="12"/>
      <c r="E1152" s="26"/>
      <c r="F1152" s="26"/>
      <c r="G1152" s="26"/>
      <c r="H1152" s="26"/>
      <c r="I1152" s="26"/>
      <c r="J1152" s="26"/>
      <c r="L1152" s="45"/>
      <c r="M1152" s="45"/>
      <c r="N1152" s="137"/>
      <c r="O1152" s="137"/>
    </row>
    <row r="1153" customHeight="1" spans="3:15">
      <c r="C1153" s="12"/>
      <c r="D1153" s="12"/>
      <c r="E1153" s="26"/>
      <c r="F1153" s="26"/>
      <c r="G1153" s="26"/>
      <c r="H1153" s="26"/>
      <c r="I1153" s="26"/>
      <c r="J1153" s="26"/>
      <c r="L1153" s="45"/>
      <c r="M1153" s="45"/>
      <c r="N1153" s="137"/>
      <c r="O1153" s="137"/>
    </row>
    <row r="1154" customHeight="1" spans="3:15">
      <c r="C1154" s="12"/>
      <c r="D1154" s="12"/>
      <c r="E1154" s="26"/>
      <c r="F1154" s="26"/>
      <c r="G1154" s="26"/>
      <c r="H1154" s="26"/>
      <c r="I1154" s="26"/>
      <c r="J1154" s="26"/>
      <c r="L1154" s="45"/>
      <c r="M1154" s="45"/>
      <c r="N1154" s="137"/>
      <c r="O1154" s="137"/>
    </row>
    <row r="1155" customHeight="1" spans="3:15">
      <c r="C1155" s="12"/>
      <c r="D1155" s="12"/>
      <c r="E1155" s="26"/>
      <c r="F1155" s="26"/>
      <c r="G1155" s="26"/>
      <c r="H1155" s="26"/>
      <c r="I1155" s="26"/>
      <c r="J1155" s="26"/>
      <c r="L1155" s="45"/>
      <c r="M1155" s="45"/>
      <c r="N1155" s="137"/>
      <c r="O1155" s="137"/>
    </row>
    <row r="1156" customHeight="1" spans="3:15">
      <c r="C1156" s="12"/>
      <c r="D1156" s="12"/>
      <c r="E1156" s="26"/>
      <c r="F1156" s="26"/>
      <c r="G1156" s="26"/>
      <c r="H1156" s="26"/>
      <c r="I1156" s="26"/>
      <c r="J1156" s="26"/>
      <c r="L1156" s="45"/>
      <c r="M1156" s="45"/>
      <c r="N1156" s="137"/>
      <c r="O1156" s="137"/>
    </row>
    <row r="1157" customHeight="1" spans="3:15">
      <c r="C1157" s="12"/>
      <c r="D1157" s="12"/>
      <c r="E1157" s="26"/>
      <c r="F1157" s="26"/>
      <c r="G1157" s="26"/>
      <c r="H1157" s="26"/>
      <c r="I1157" s="26"/>
      <c r="J1157" s="26"/>
      <c r="L1157" s="45"/>
      <c r="M1157" s="45"/>
      <c r="N1157" s="137"/>
      <c r="O1157" s="137"/>
    </row>
    <row r="1158" customHeight="1" spans="3:15">
      <c r="C1158" s="12"/>
      <c r="D1158" s="12"/>
      <c r="E1158" s="26"/>
      <c r="F1158" s="26"/>
      <c r="G1158" s="26"/>
      <c r="H1158" s="26"/>
      <c r="I1158" s="26"/>
      <c r="J1158" s="26"/>
      <c r="L1158" s="45"/>
      <c r="M1158" s="45"/>
      <c r="N1158" s="137"/>
      <c r="O1158" s="137"/>
    </row>
    <row r="1159" customHeight="1" spans="3:15">
      <c r="C1159" s="12"/>
      <c r="D1159" s="12"/>
      <c r="E1159" s="26"/>
      <c r="F1159" s="26"/>
      <c r="G1159" s="26"/>
      <c r="H1159" s="26"/>
      <c r="I1159" s="26"/>
      <c r="J1159" s="26"/>
      <c r="L1159" s="45"/>
      <c r="M1159" s="45"/>
      <c r="N1159" s="137"/>
      <c r="O1159" s="137"/>
    </row>
    <row r="1160" customHeight="1" spans="3:15">
      <c r="C1160" s="12"/>
      <c r="D1160" s="12"/>
      <c r="E1160" s="26"/>
      <c r="F1160" s="26"/>
      <c r="G1160" s="26"/>
      <c r="H1160" s="26"/>
      <c r="I1160" s="26"/>
      <c r="J1160" s="26"/>
      <c r="L1160" s="45"/>
      <c r="M1160" s="45"/>
      <c r="N1160" s="137"/>
      <c r="O1160" s="137"/>
    </row>
    <row r="1161" customHeight="1" spans="3:15">
      <c r="C1161" s="12"/>
      <c r="D1161" s="12"/>
      <c r="E1161" s="26"/>
      <c r="F1161" s="26"/>
      <c r="G1161" s="26"/>
      <c r="H1161" s="26"/>
      <c r="I1161" s="26"/>
      <c r="J1161" s="26"/>
      <c r="L1161" s="45"/>
      <c r="M1161" s="45"/>
      <c r="N1161" s="137"/>
      <c r="O1161" s="137"/>
    </row>
    <row r="1162" customHeight="1" spans="3:15">
      <c r="C1162" s="12"/>
      <c r="D1162" s="12"/>
      <c r="E1162" s="26"/>
      <c r="F1162" s="26"/>
      <c r="G1162" s="26"/>
      <c r="H1162" s="26"/>
      <c r="I1162" s="26"/>
      <c r="J1162" s="26"/>
      <c r="L1162" s="45"/>
      <c r="M1162" s="45"/>
      <c r="N1162" s="137"/>
      <c r="O1162" s="137"/>
    </row>
    <row r="1163" customHeight="1" spans="3:15">
      <c r="C1163" s="12"/>
      <c r="D1163" s="12"/>
      <c r="E1163" s="26"/>
      <c r="F1163" s="26"/>
      <c r="G1163" s="26"/>
      <c r="H1163" s="26"/>
      <c r="I1163" s="26"/>
      <c r="J1163" s="26"/>
      <c r="L1163" s="45"/>
      <c r="M1163" s="45"/>
      <c r="N1163" s="137"/>
      <c r="O1163" s="137"/>
    </row>
    <row r="1164" customHeight="1" spans="3:15">
      <c r="C1164" s="12"/>
      <c r="D1164" s="12"/>
      <c r="E1164" s="26"/>
      <c r="F1164" s="26"/>
      <c r="G1164" s="26"/>
      <c r="H1164" s="26"/>
      <c r="I1164" s="26"/>
      <c r="J1164" s="26"/>
      <c r="L1164" s="45"/>
      <c r="M1164" s="45"/>
      <c r="N1164" s="137"/>
      <c r="O1164" s="137"/>
    </row>
    <row r="1165" customHeight="1" spans="3:15">
      <c r="C1165" s="12"/>
      <c r="D1165" s="12"/>
      <c r="E1165" s="26"/>
      <c r="F1165" s="26"/>
      <c r="G1165" s="26"/>
      <c r="H1165" s="26"/>
      <c r="I1165" s="26"/>
      <c r="J1165" s="26"/>
      <c r="L1165" s="45"/>
      <c r="M1165" s="45"/>
      <c r="N1165" s="137"/>
      <c r="O1165" s="137"/>
    </row>
    <row r="1166" customHeight="1" spans="3:15">
      <c r="C1166" s="12"/>
      <c r="D1166" s="12"/>
      <c r="E1166" s="26"/>
      <c r="F1166" s="26"/>
      <c r="G1166" s="26"/>
      <c r="H1166" s="26"/>
      <c r="I1166" s="26"/>
      <c r="J1166" s="26"/>
      <c r="L1166" s="45"/>
      <c r="M1166" s="45"/>
      <c r="N1166" s="137"/>
      <c r="O1166" s="137"/>
    </row>
    <row r="1167" customHeight="1" spans="3:15">
      <c r="C1167" s="12"/>
      <c r="D1167" s="12"/>
      <c r="E1167" s="26"/>
      <c r="F1167" s="26"/>
      <c r="G1167" s="26"/>
      <c r="H1167" s="26"/>
      <c r="I1167" s="26"/>
      <c r="J1167" s="26"/>
      <c r="L1167" s="45"/>
      <c r="M1167" s="45"/>
      <c r="N1167" s="137"/>
      <c r="O1167" s="137"/>
    </row>
    <row r="1168" customHeight="1" spans="3:15">
      <c r="C1168" s="12"/>
      <c r="D1168" s="12"/>
      <c r="E1168" s="26"/>
      <c r="F1168" s="26"/>
      <c r="G1168" s="26"/>
      <c r="H1168" s="26"/>
      <c r="I1168" s="26"/>
      <c r="J1168" s="26"/>
      <c r="L1168" s="45"/>
      <c r="M1168" s="45"/>
      <c r="N1168" s="137"/>
      <c r="O1168" s="137"/>
    </row>
    <row r="1169" customHeight="1" spans="3:15">
      <c r="C1169" s="12"/>
      <c r="D1169" s="12"/>
      <c r="E1169" s="26"/>
      <c r="F1169" s="26"/>
      <c r="G1169" s="26"/>
      <c r="H1169" s="26"/>
      <c r="I1169" s="26"/>
      <c r="J1169" s="26"/>
      <c r="L1169" s="45"/>
      <c r="M1169" s="45"/>
      <c r="N1169" s="137"/>
      <c r="O1169" s="137"/>
    </row>
    <row r="1170" customHeight="1" spans="3:15">
      <c r="C1170" s="12"/>
      <c r="D1170" s="12"/>
      <c r="E1170" s="26"/>
      <c r="F1170" s="26"/>
      <c r="G1170" s="26"/>
      <c r="H1170" s="26"/>
      <c r="I1170" s="26"/>
      <c r="J1170" s="26"/>
      <c r="L1170" s="45"/>
      <c r="M1170" s="45"/>
      <c r="N1170" s="137"/>
      <c r="O1170" s="137"/>
    </row>
    <row r="1171" customHeight="1" spans="3:15">
      <c r="C1171" s="12"/>
      <c r="D1171" s="12"/>
      <c r="E1171" s="26"/>
      <c r="F1171" s="26"/>
      <c r="G1171" s="26"/>
      <c r="H1171" s="26"/>
      <c r="I1171" s="26"/>
      <c r="J1171" s="26"/>
      <c r="L1171" s="45"/>
      <c r="M1171" s="45"/>
      <c r="N1171" s="137"/>
      <c r="O1171" s="137"/>
    </row>
    <row r="1172" customHeight="1" spans="3:15">
      <c r="C1172" s="12"/>
      <c r="D1172" s="12"/>
      <c r="E1172" s="26"/>
      <c r="F1172" s="26"/>
      <c r="G1172" s="26"/>
      <c r="H1172" s="26"/>
      <c r="I1172" s="26"/>
      <c r="J1172" s="26"/>
      <c r="L1172" s="45"/>
      <c r="M1172" s="45"/>
      <c r="N1172" s="137"/>
      <c r="O1172" s="137"/>
    </row>
    <row r="1173" customHeight="1" spans="3:15">
      <c r="C1173" s="12"/>
      <c r="D1173" s="12"/>
      <c r="E1173" s="26"/>
      <c r="F1173" s="26"/>
      <c r="G1173" s="26"/>
      <c r="H1173" s="26"/>
      <c r="I1173" s="26"/>
      <c r="J1173" s="26"/>
      <c r="L1173" s="45"/>
      <c r="M1173" s="45"/>
      <c r="N1173" s="137"/>
      <c r="O1173" s="137"/>
    </row>
    <row r="1174" customHeight="1" spans="3:15">
      <c r="C1174" s="12"/>
      <c r="D1174" s="12"/>
      <c r="E1174" s="26"/>
      <c r="F1174" s="26"/>
      <c r="G1174" s="26"/>
      <c r="H1174" s="26"/>
      <c r="I1174" s="26"/>
      <c r="J1174" s="26"/>
      <c r="L1174" s="45"/>
      <c r="M1174" s="45"/>
      <c r="N1174" s="137"/>
      <c r="O1174" s="137"/>
    </row>
    <row r="1175" customHeight="1" spans="3:15">
      <c r="C1175" s="12"/>
      <c r="D1175" s="12"/>
      <c r="E1175" s="26"/>
      <c r="F1175" s="26"/>
      <c r="G1175" s="26"/>
      <c r="H1175" s="26"/>
      <c r="I1175" s="26"/>
      <c r="J1175" s="26"/>
      <c r="L1175" s="45"/>
      <c r="M1175" s="45"/>
      <c r="N1175" s="137"/>
      <c r="O1175" s="137"/>
    </row>
    <row r="1176" customHeight="1" spans="3:15">
      <c r="C1176" s="12"/>
      <c r="D1176" s="12"/>
      <c r="E1176" s="26"/>
      <c r="F1176" s="26"/>
      <c r="G1176" s="26"/>
      <c r="H1176" s="26"/>
      <c r="I1176" s="26"/>
      <c r="J1176" s="26"/>
      <c r="L1176" s="45"/>
      <c r="M1176" s="45"/>
      <c r="N1176" s="137"/>
      <c r="O1176" s="137"/>
    </row>
    <row r="1177" customHeight="1" spans="3:15">
      <c r="C1177" s="12"/>
      <c r="D1177" s="12"/>
      <c r="E1177" s="26"/>
      <c r="F1177" s="26"/>
      <c r="G1177" s="26"/>
      <c r="H1177" s="26"/>
      <c r="I1177" s="26"/>
      <c r="J1177" s="26"/>
      <c r="L1177" s="45"/>
      <c r="M1177" s="45"/>
      <c r="N1177" s="137"/>
      <c r="O1177" s="137"/>
    </row>
    <row r="1178" customHeight="1" spans="3:15">
      <c r="C1178" s="12"/>
      <c r="D1178" s="12"/>
      <c r="E1178" s="26"/>
      <c r="F1178" s="26"/>
      <c r="G1178" s="26"/>
      <c r="H1178" s="26"/>
      <c r="I1178" s="26"/>
      <c r="J1178" s="26"/>
      <c r="L1178" s="45"/>
      <c r="M1178" s="45"/>
      <c r="N1178" s="137"/>
      <c r="O1178" s="137"/>
    </row>
    <row r="1179" customHeight="1" spans="3:15">
      <c r="C1179" s="12"/>
      <c r="D1179" s="12"/>
      <c r="E1179" s="26"/>
      <c r="F1179" s="26"/>
      <c r="G1179" s="26"/>
      <c r="H1179" s="26"/>
      <c r="I1179" s="26"/>
      <c r="J1179" s="26"/>
      <c r="L1179" s="45"/>
      <c r="M1179" s="45"/>
      <c r="N1179" s="137"/>
      <c r="O1179" s="137"/>
    </row>
    <row r="1180" customHeight="1" spans="3:15">
      <c r="C1180" s="12"/>
      <c r="D1180" s="12"/>
      <c r="E1180" s="26"/>
      <c r="F1180" s="26"/>
      <c r="G1180" s="26"/>
      <c r="H1180" s="26"/>
      <c r="I1180" s="26"/>
      <c r="J1180" s="26"/>
      <c r="L1180" s="45"/>
      <c r="M1180" s="45"/>
      <c r="N1180" s="137"/>
      <c r="O1180" s="137"/>
    </row>
    <row r="1181" customHeight="1" spans="3:15">
      <c r="C1181" s="12"/>
      <c r="D1181" s="12"/>
      <c r="E1181" s="26"/>
      <c r="F1181" s="26"/>
      <c r="G1181" s="26"/>
      <c r="H1181" s="26"/>
      <c r="I1181" s="26"/>
      <c r="J1181" s="26"/>
      <c r="L1181" s="45"/>
      <c r="M1181" s="45"/>
      <c r="N1181" s="137"/>
      <c r="O1181" s="137"/>
    </row>
    <row r="1182" customHeight="1" spans="3:15">
      <c r="C1182" s="12"/>
      <c r="D1182" s="12"/>
      <c r="E1182" s="26"/>
      <c r="F1182" s="26"/>
      <c r="G1182" s="26"/>
      <c r="H1182" s="26"/>
      <c r="I1182" s="26"/>
      <c r="J1182" s="26"/>
      <c r="L1182" s="45"/>
      <c r="M1182" s="45"/>
      <c r="N1182" s="137"/>
      <c r="O1182" s="137"/>
    </row>
    <row r="1183" customHeight="1" spans="3:15">
      <c r="C1183" s="12"/>
      <c r="D1183" s="12"/>
      <c r="E1183" s="26"/>
      <c r="F1183" s="26"/>
      <c r="G1183" s="26"/>
      <c r="H1183" s="26"/>
      <c r="I1183" s="26"/>
      <c r="J1183" s="26"/>
      <c r="L1183" s="45"/>
      <c r="M1183" s="45"/>
      <c r="N1183" s="137"/>
      <c r="O1183" s="137"/>
    </row>
    <row r="1184" customHeight="1" spans="3:15">
      <c r="C1184" s="12"/>
      <c r="D1184" s="12"/>
      <c r="E1184" s="26"/>
      <c r="F1184" s="26"/>
      <c r="G1184" s="26"/>
      <c r="H1184" s="26"/>
      <c r="I1184" s="26"/>
      <c r="J1184" s="26"/>
      <c r="L1184" s="45"/>
      <c r="M1184" s="45"/>
      <c r="N1184" s="137"/>
      <c r="O1184" s="137"/>
    </row>
    <row r="1185" customHeight="1" spans="3:15">
      <c r="C1185" s="12"/>
      <c r="D1185" s="12"/>
      <c r="E1185" s="26"/>
      <c r="F1185" s="26"/>
      <c r="G1185" s="26"/>
      <c r="H1185" s="26"/>
      <c r="I1185" s="26"/>
      <c r="J1185" s="26"/>
      <c r="L1185" s="45"/>
      <c r="M1185" s="45"/>
      <c r="N1185" s="137"/>
      <c r="O1185" s="137"/>
    </row>
    <row r="1186" customHeight="1" spans="3:15">
      <c r="C1186" s="12"/>
      <c r="D1186" s="12"/>
      <c r="E1186" s="26"/>
      <c r="F1186" s="26"/>
      <c r="G1186" s="26"/>
      <c r="H1186" s="26"/>
      <c r="I1186" s="26"/>
      <c r="J1186" s="26"/>
      <c r="L1186" s="45"/>
      <c r="M1186" s="45"/>
      <c r="N1186" s="137"/>
      <c r="O1186" s="137"/>
    </row>
    <row r="1187" customHeight="1" spans="3:15">
      <c r="C1187" s="12"/>
      <c r="D1187" s="12"/>
      <c r="E1187" s="26"/>
      <c r="F1187" s="26"/>
      <c r="G1187" s="26"/>
      <c r="H1187" s="26"/>
      <c r="I1187" s="26"/>
      <c r="J1187" s="26"/>
      <c r="L1187" s="45"/>
      <c r="M1187" s="45"/>
      <c r="N1187" s="137"/>
      <c r="O1187" s="137"/>
    </row>
    <row r="1188" customHeight="1" spans="3:15">
      <c r="C1188" s="12"/>
      <c r="D1188" s="12"/>
      <c r="E1188" s="26"/>
      <c r="F1188" s="26"/>
      <c r="G1188" s="26"/>
      <c r="H1188" s="26"/>
      <c r="I1188" s="26"/>
      <c r="J1188" s="26"/>
      <c r="L1188" s="45"/>
      <c r="M1188" s="45"/>
      <c r="N1188" s="137"/>
      <c r="O1188" s="137"/>
    </row>
    <row r="1189" customHeight="1" spans="3:15">
      <c r="C1189" s="12"/>
      <c r="D1189" s="12"/>
      <c r="E1189" s="26"/>
      <c r="F1189" s="26"/>
      <c r="G1189" s="26"/>
      <c r="H1189" s="26"/>
      <c r="I1189" s="26"/>
      <c r="J1189" s="26"/>
      <c r="L1189" s="45"/>
      <c r="M1189" s="45"/>
      <c r="N1189" s="137"/>
      <c r="O1189" s="137"/>
    </row>
    <row r="1190" customHeight="1" spans="3:15">
      <c r="C1190" s="12"/>
      <c r="D1190" s="12"/>
      <c r="E1190" s="26"/>
      <c r="F1190" s="26"/>
      <c r="G1190" s="26"/>
      <c r="H1190" s="26"/>
      <c r="I1190" s="26"/>
      <c r="J1190" s="26"/>
      <c r="L1190" s="45"/>
      <c r="M1190" s="45"/>
      <c r="N1190" s="137"/>
      <c r="O1190" s="137"/>
    </row>
    <row r="1191" customHeight="1" spans="3:15">
      <c r="C1191" s="12"/>
      <c r="D1191" s="12"/>
      <c r="E1191" s="26"/>
      <c r="F1191" s="26"/>
      <c r="G1191" s="26"/>
      <c r="H1191" s="26"/>
      <c r="I1191" s="26"/>
      <c r="J1191" s="26"/>
      <c r="L1191" s="45"/>
      <c r="M1191" s="45"/>
      <c r="N1191" s="137"/>
      <c r="O1191" s="137"/>
    </row>
    <row r="1192" customHeight="1" spans="3:15">
      <c r="C1192" s="12"/>
      <c r="D1192" s="12"/>
      <c r="E1192" s="26"/>
      <c r="F1192" s="26"/>
      <c r="G1192" s="26"/>
      <c r="H1192" s="26"/>
      <c r="I1192" s="26"/>
      <c r="J1192" s="26"/>
      <c r="L1192" s="45"/>
      <c r="M1192" s="45"/>
      <c r="N1192" s="137"/>
      <c r="O1192" s="137"/>
    </row>
    <row r="1193" customHeight="1" spans="3:15">
      <c r="C1193" s="12"/>
      <c r="D1193" s="12"/>
      <c r="E1193" s="26"/>
      <c r="F1193" s="26"/>
      <c r="G1193" s="26"/>
      <c r="H1193" s="26"/>
      <c r="I1193" s="26"/>
      <c r="J1193" s="26"/>
      <c r="L1193" s="45"/>
      <c r="M1193" s="45"/>
      <c r="N1193" s="137"/>
      <c r="O1193" s="137"/>
    </row>
    <row r="1194" customHeight="1" spans="3:15">
      <c r="C1194" s="12"/>
      <c r="D1194" s="12"/>
      <c r="E1194" s="26"/>
      <c r="F1194" s="26"/>
      <c r="G1194" s="26"/>
      <c r="H1194" s="26"/>
      <c r="I1194" s="26"/>
      <c r="J1194" s="26"/>
      <c r="L1194" s="45"/>
      <c r="M1194" s="45"/>
      <c r="N1194" s="137"/>
      <c r="O1194" s="137"/>
    </row>
    <row r="1195" customHeight="1" spans="3:15">
      <c r="C1195" s="12"/>
      <c r="D1195" s="12"/>
      <c r="E1195" s="26"/>
      <c r="F1195" s="26"/>
      <c r="G1195" s="26"/>
      <c r="H1195" s="26"/>
      <c r="I1195" s="26"/>
      <c r="J1195" s="26"/>
      <c r="L1195" s="45"/>
      <c r="M1195" s="45"/>
      <c r="N1195" s="137"/>
      <c r="O1195" s="137"/>
    </row>
    <row r="1196" customHeight="1" spans="3:15">
      <c r="C1196" s="12"/>
      <c r="D1196" s="12"/>
      <c r="E1196" s="26"/>
      <c r="F1196" s="26"/>
      <c r="G1196" s="26"/>
      <c r="H1196" s="26"/>
      <c r="I1196" s="26"/>
      <c r="J1196" s="26"/>
      <c r="L1196" s="45"/>
      <c r="M1196" s="45"/>
      <c r="N1196" s="137"/>
      <c r="O1196" s="137"/>
    </row>
    <row r="1197" customHeight="1" spans="3:15">
      <c r="C1197" s="12"/>
      <c r="D1197" s="12"/>
      <c r="E1197" s="26"/>
      <c r="F1197" s="26"/>
      <c r="G1197" s="26"/>
      <c r="H1197" s="26"/>
      <c r="I1197" s="26"/>
      <c r="J1197" s="26"/>
      <c r="L1197" s="45"/>
      <c r="M1197" s="45"/>
      <c r="N1197" s="137"/>
      <c r="O1197" s="137"/>
    </row>
    <row r="1198" customHeight="1" spans="3:15">
      <c r="C1198" s="12"/>
      <c r="D1198" s="12"/>
      <c r="E1198" s="26"/>
      <c r="F1198" s="26"/>
      <c r="G1198" s="26"/>
      <c r="H1198" s="26"/>
      <c r="I1198" s="26"/>
      <c r="J1198" s="26"/>
      <c r="L1198" s="45"/>
      <c r="M1198" s="45"/>
      <c r="N1198" s="137"/>
      <c r="O1198" s="137"/>
    </row>
    <row r="1199" customHeight="1" spans="3:15">
      <c r="C1199" s="12"/>
      <c r="D1199" s="12"/>
      <c r="E1199" s="26"/>
      <c r="F1199" s="26"/>
      <c r="G1199" s="26"/>
      <c r="H1199" s="26"/>
      <c r="I1199" s="26"/>
      <c r="J1199" s="26"/>
      <c r="L1199" s="45"/>
      <c r="M1199" s="45"/>
      <c r="N1199" s="137"/>
      <c r="O1199" s="137"/>
    </row>
    <row r="1200" customHeight="1" spans="3:15">
      <c r="C1200" s="12"/>
      <c r="D1200" s="12"/>
      <c r="E1200" s="26"/>
      <c r="F1200" s="26"/>
      <c r="G1200" s="26"/>
      <c r="H1200" s="26"/>
      <c r="I1200" s="26"/>
      <c r="J1200" s="26"/>
      <c r="L1200" s="45"/>
      <c r="M1200" s="45"/>
      <c r="N1200" s="137"/>
      <c r="O1200" s="137"/>
    </row>
    <row r="1201" customHeight="1" spans="3:15">
      <c r="C1201" s="12"/>
      <c r="D1201" s="12"/>
      <c r="E1201" s="26"/>
      <c r="F1201" s="26"/>
      <c r="G1201" s="26"/>
      <c r="H1201" s="26"/>
      <c r="I1201" s="26"/>
      <c r="J1201" s="26"/>
      <c r="L1201" s="45"/>
      <c r="M1201" s="45"/>
      <c r="N1201" s="137"/>
      <c r="O1201" s="137"/>
    </row>
    <row r="1202" customHeight="1" spans="3:15">
      <c r="C1202" s="12"/>
      <c r="D1202" s="12"/>
      <c r="E1202" s="26"/>
      <c r="F1202" s="26"/>
      <c r="G1202" s="26"/>
      <c r="H1202" s="26"/>
      <c r="I1202" s="26"/>
      <c r="J1202" s="26"/>
      <c r="L1202" s="45"/>
      <c r="M1202" s="45"/>
      <c r="N1202" s="137"/>
      <c r="O1202" s="137"/>
    </row>
    <row r="1203" customHeight="1" spans="3:15">
      <c r="C1203" s="12"/>
      <c r="D1203" s="12"/>
      <c r="E1203" s="26"/>
      <c r="F1203" s="26"/>
      <c r="G1203" s="26"/>
      <c r="H1203" s="26"/>
      <c r="I1203" s="26"/>
      <c r="J1203" s="26"/>
      <c r="L1203" s="45"/>
      <c r="M1203" s="45"/>
      <c r="N1203" s="137"/>
      <c r="O1203" s="137"/>
    </row>
    <row r="1204" customHeight="1" spans="3:15">
      <c r="C1204" s="12"/>
      <c r="D1204" s="12"/>
      <c r="E1204" s="26"/>
      <c r="F1204" s="26"/>
      <c r="G1204" s="26"/>
      <c r="H1204" s="26"/>
      <c r="I1204" s="26"/>
      <c r="J1204" s="26"/>
      <c r="L1204" s="45"/>
      <c r="M1204" s="45"/>
      <c r="N1204" s="137"/>
      <c r="O1204" s="137"/>
    </row>
    <row r="1205" customHeight="1" spans="3:15">
      <c r="C1205" s="12"/>
      <c r="D1205" s="12"/>
      <c r="E1205" s="26"/>
      <c r="F1205" s="26"/>
      <c r="G1205" s="26"/>
      <c r="H1205" s="26"/>
      <c r="I1205" s="26"/>
      <c r="J1205" s="26"/>
      <c r="L1205" s="45"/>
      <c r="M1205" s="45"/>
      <c r="N1205" s="137"/>
      <c r="O1205" s="137"/>
    </row>
    <row r="1206" customHeight="1" spans="3:15">
      <c r="C1206" s="12"/>
      <c r="D1206" s="12"/>
      <c r="E1206" s="26"/>
      <c r="F1206" s="26"/>
      <c r="G1206" s="26"/>
      <c r="H1206" s="26"/>
      <c r="I1206" s="26"/>
      <c r="J1206" s="26"/>
      <c r="L1206" s="45"/>
      <c r="M1206" s="45"/>
      <c r="N1206" s="137"/>
      <c r="O1206" s="137"/>
    </row>
    <row r="1207" customHeight="1" spans="3:15">
      <c r="C1207" s="12"/>
      <c r="D1207" s="12"/>
      <c r="E1207" s="26"/>
      <c r="F1207" s="26"/>
      <c r="G1207" s="26"/>
      <c r="H1207" s="26"/>
      <c r="I1207" s="26"/>
      <c r="J1207" s="26"/>
      <c r="L1207" s="45"/>
      <c r="M1207" s="45"/>
      <c r="N1207" s="137"/>
      <c r="O1207" s="137"/>
    </row>
    <row r="1208" customHeight="1" spans="3:15">
      <c r="C1208" s="12"/>
      <c r="D1208" s="12"/>
      <c r="E1208" s="26"/>
      <c r="F1208" s="26"/>
      <c r="G1208" s="26"/>
      <c r="H1208" s="26"/>
      <c r="I1208" s="26"/>
      <c r="J1208" s="26"/>
      <c r="L1208" s="45"/>
      <c r="M1208" s="45"/>
      <c r="N1208" s="137"/>
      <c r="O1208" s="137"/>
    </row>
    <row r="1209" customHeight="1" spans="3:15">
      <c r="C1209" s="12"/>
      <c r="D1209" s="12"/>
      <c r="E1209" s="26"/>
      <c r="F1209" s="26"/>
      <c r="G1209" s="26"/>
      <c r="H1209" s="26"/>
      <c r="I1209" s="26"/>
      <c r="J1209" s="26"/>
      <c r="L1209" s="45"/>
      <c r="M1209" s="45"/>
      <c r="N1209" s="137"/>
      <c r="O1209" s="137"/>
    </row>
    <row r="1210" customHeight="1" spans="3:15">
      <c r="C1210" s="12"/>
      <c r="D1210" s="12"/>
      <c r="E1210" s="26"/>
      <c r="F1210" s="26"/>
      <c r="G1210" s="26"/>
      <c r="H1210" s="26"/>
      <c r="I1210" s="26"/>
      <c r="J1210" s="26"/>
      <c r="L1210" s="45"/>
      <c r="M1210" s="45"/>
      <c r="N1210" s="137"/>
      <c r="O1210" s="137"/>
    </row>
    <row r="1211" customHeight="1" spans="3:15">
      <c r="C1211" s="12"/>
      <c r="D1211" s="12"/>
      <c r="E1211" s="26"/>
      <c r="F1211" s="26"/>
      <c r="G1211" s="26"/>
      <c r="H1211" s="26"/>
      <c r="I1211" s="26"/>
      <c r="J1211" s="26"/>
      <c r="L1211" s="45"/>
      <c r="M1211" s="45"/>
      <c r="N1211" s="137"/>
      <c r="O1211" s="137"/>
    </row>
    <row r="1212" customHeight="1" spans="3:15">
      <c r="C1212" s="12"/>
      <c r="D1212" s="12"/>
      <c r="E1212" s="26"/>
      <c r="F1212" s="26"/>
      <c r="G1212" s="26"/>
      <c r="H1212" s="26"/>
      <c r="I1212" s="26"/>
      <c r="J1212" s="26"/>
      <c r="L1212" s="45"/>
      <c r="M1212" s="45"/>
      <c r="N1212" s="137"/>
      <c r="O1212" s="137"/>
    </row>
    <row r="1213" customHeight="1" spans="3:15">
      <c r="C1213" s="12"/>
      <c r="D1213" s="12"/>
      <c r="E1213" s="26"/>
      <c r="F1213" s="26"/>
      <c r="G1213" s="26"/>
      <c r="H1213" s="26"/>
      <c r="I1213" s="26"/>
      <c r="J1213" s="26"/>
      <c r="L1213" s="45"/>
      <c r="M1213" s="45"/>
      <c r="N1213" s="137"/>
      <c r="O1213" s="137"/>
    </row>
    <row r="1214" customHeight="1" spans="3:15">
      <c r="C1214" s="12"/>
      <c r="D1214" s="12"/>
      <c r="E1214" s="26"/>
      <c r="F1214" s="26"/>
      <c r="G1214" s="26"/>
      <c r="H1214" s="26"/>
      <c r="I1214" s="26"/>
      <c r="J1214" s="26"/>
      <c r="L1214" s="45"/>
      <c r="M1214" s="45"/>
      <c r="N1214" s="137"/>
      <c r="O1214" s="137"/>
    </row>
    <row r="1215" customHeight="1" spans="3:15">
      <c r="C1215" s="12"/>
      <c r="D1215" s="12"/>
      <c r="E1215" s="26"/>
      <c r="F1215" s="26"/>
      <c r="G1215" s="26"/>
      <c r="H1215" s="26"/>
      <c r="I1215" s="26"/>
      <c r="J1215" s="26"/>
      <c r="L1215" s="45"/>
      <c r="M1215" s="45"/>
      <c r="N1215" s="137"/>
      <c r="O1215" s="137"/>
    </row>
    <row r="1216" customHeight="1" spans="3:15">
      <c r="C1216" s="12"/>
      <c r="D1216" s="12"/>
      <c r="E1216" s="26"/>
      <c r="F1216" s="26"/>
      <c r="G1216" s="26"/>
      <c r="H1216" s="26"/>
      <c r="I1216" s="26"/>
      <c r="J1216" s="26"/>
      <c r="L1216" s="45"/>
      <c r="M1216" s="45"/>
      <c r="N1216" s="137"/>
      <c r="O1216" s="137"/>
    </row>
    <row r="1217" customHeight="1" spans="3:15">
      <c r="C1217" s="12"/>
      <c r="D1217" s="12"/>
      <c r="E1217" s="26"/>
      <c r="F1217" s="26"/>
      <c r="G1217" s="26"/>
      <c r="H1217" s="26"/>
      <c r="I1217" s="26"/>
      <c r="J1217" s="26"/>
      <c r="L1217" s="45"/>
      <c r="M1217" s="45"/>
      <c r="N1217" s="137"/>
      <c r="O1217" s="137"/>
    </row>
    <row r="1218" customHeight="1" spans="3:15">
      <c r="C1218" s="12"/>
      <c r="D1218" s="12"/>
      <c r="E1218" s="26"/>
      <c r="F1218" s="26"/>
      <c r="G1218" s="26"/>
      <c r="H1218" s="26"/>
      <c r="I1218" s="26"/>
      <c r="J1218" s="26"/>
      <c r="L1218" s="45"/>
      <c r="M1218" s="45"/>
      <c r="N1218" s="137"/>
      <c r="O1218" s="137"/>
    </row>
    <row r="1219" customHeight="1" spans="3:15">
      <c r="C1219" s="12"/>
      <c r="D1219" s="12"/>
      <c r="E1219" s="26"/>
      <c r="F1219" s="26"/>
      <c r="G1219" s="26"/>
      <c r="H1219" s="26"/>
      <c r="I1219" s="26"/>
      <c r="J1219" s="26"/>
      <c r="L1219" s="45"/>
      <c r="M1219" s="45"/>
      <c r="N1219" s="137"/>
      <c r="O1219" s="137"/>
    </row>
    <row r="1220" customHeight="1" spans="3:15">
      <c r="C1220" s="12"/>
      <c r="D1220" s="12"/>
      <c r="E1220" s="26"/>
      <c r="F1220" s="26"/>
      <c r="G1220" s="26"/>
      <c r="H1220" s="26"/>
      <c r="I1220" s="26"/>
      <c r="J1220" s="26"/>
      <c r="L1220" s="45"/>
      <c r="M1220" s="45"/>
      <c r="N1220" s="137"/>
      <c r="O1220" s="137"/>
    </row>
    <row r="1221" customHeight="1" spans="3:15">
      <c r="C1221" s="12"/>
      <c r="D1221" s="12"/>
      <c r="E1221" s="26"/>
      <c r="F1221" s="26"/>
      <c r="G1221" s="26"/>
      <c r="H1221" s="26"/>
      <c r="I1221" s="26"/>
      <c r="J1221" s="26"/>
      <c r="L1221" s="45"/>
      <c r="M1221" s="45"/>
      <c r="N1221" s="137"/>
      <c r="O1221" s="137"/>
    </row>
    <row r="1222" customHeight="1" spans="3:15">
      <c r="C1222" s="12"/>
      <c r="D1222" s="12"/>
      <c r="E1222" s="26"/>
      <c r="F1222" s="26"/>
      <c r="G1222" s="26"/>
      <c r="H1222" s="26"/>
      <c r="I1222" s="26"/>
      <c r="J1222" s="26"/>
      <c r="L1222" s="45"/>
      <c r="M1222" s="45"/>
      <c r="N1222" s="137"/>
      <c r="O1222" s="137"/>
    </row>
    <row r="1223" customHeight="1" spans="3:15">
      <c r="C1223" s="12"/>
      <c r="D1223" s="12"/>
      <c r="E1223" s="26"/>
      <c r="F1223" s="26"/>
      <c r="G1223" s="26"/>
      <c r="H1223" s="26"/>
      <c r="I1223" s="26"/>
      <c r="J1223" s="26"/>
      <c r="L1223" s="45"/>
      <c r="M1223" s="45"/>
      <c r="N1223" s="137"/>
      <c r="O1223" s="137"/>
    </row>
    <row r="1224" customHeight="1" spans="3:15">
      <c r="C1224" s="12"/>
      <c r="D1224" s="12"/>
      <c r="E1224" s="26"/>
      <c r="F1224" s="26"/>
      <c r="G1224" s="26"/>
      <c r="H1224" s="26"/>
      <c r="I1224" s="26"/>
      <c r="J1224" s="26"/>
      <c r="L1224" s="45"/>
      <c r="M1224" s="45"/>
      <c r="N1224" s="137"/>
      <c r="O1224" s="137"/>
    </row>
    <row r="1225" customHeight="1" spans="3:15">
      <c r="C1225" s="12"/>
      <c r="D1225" s="12"/>
      <c r="E1225" s="26"/>
      <c r="F1225" s="26"/>
      <c r="G1225" s="26"/>
      <c r="H1225" s="26"/>
      <c r="I1225" s="26"/>
      <c r="J1225" s="26"/>
      <c r="L1225" s="45"/>
      <c r="M1225" s="45"/>
      <c r="N1225" s="137"/>
      <c r="O1225" s="137"/>
    </row>
    <row r="1226" customHeight="1" spans="3:15">
      <c r="C1226" s="12"/>
      <c r="D1226" s="12"/>
      <c r="E1226" s="26"/>
      <c r="F1226" s="26"/>
      <c r="G1226" s="26"/>
      <c r="H1226" s="26"/>
      <c r="I1226" s="26"/>
      <c r="J1226" s="26"/>
      <c r="L1226" s="45"/>
      <c r="M1226" s="45"/>
      <c r="N1226" s="137"/>
      <c r="O1226" s="137"/>
    </row>
    <row r="1227" customHeight="1" spans="3:15">
      <c r="C1227" s="12"/>
      <c r="D1227" s="12"/>
      <c r="E1227" s="26"/>
      <c r="F1227" s="26"/>
      <c r="G1227" s="26"/>
      <c r="H1227" s="26"/>
      <c r="I1227" s="26"/>
      <c r="J1227" s="26"/>
      <c r="L1227" s="45"/>
      <c r="M1227" s="45"/>
      <c r="N1227" s="137"/>
      <c r="O1227" s="137"/>
    </row>
    <row r="1228" customHeight="1" spans="3:15">
      <c r="C1228" s="12"/>
      <c r="D1228" s="12"/>
      <c r="E1228" s="26"/>
      <c r="F1228" s="26"/>
      <c r="G1228" s="26"/>
      <c r="H1228" s="26"/>
      <c r="I1228" s="26"/>
      <c r="J1228" s="26"/>
      <c r="L1228" s="45"/>
      <c r="M1228" s="45"/>
      <c r="N1228" s="137"/>
      <c r="O1228" s="137"/>
    </row>
    <row r="1229" customHeight="1" spans="3:15">
      <c r="C1229" s="12"/>
      <c r="D1229" s="12"/>
      <c r="E1229" s="26"/>
      <c r="F1229" s="26"/>
      <c r="G1229" s="26"/>
      <c r="H1229" s="26"/>
      <c r="I1229" s="26"/>
      <c r="J1229" s="26"/>
      <c r="L1229" s="45"/>
      <c r="M1229" s="45"/>
      <c r="N1229" s="137"/>
      <c r="O1229" s="137"/>
    </row>
    <row r="1230" customHeight="1" spans="3:15">
      <c r="C1230" s="12"/>
      <c r="D1230" s="12"/>
      <c r="E1230" s="26"/>
      <c r="F1230" s="26"/>
      <c r="G1230" s="26"/>
      <c r="H1230" s="26"/>
      <c r="I1230" s="26"/>
      <c r="J1230" s="26"/>
      <c r="L1230" s="45"/>
      <c r="M1230" s="45"/>
      <c r="N1230" s="137"/>
      <c r="O1230" s="137"/>
    </row>
    <row r="1231" customHeight="1" spans="3:15">
      <c r="C1231" s="12"/>
      <c r="D1231" s="12"/>
      <c r="E1231" s="26"/>
      <c r="F1231" s="26"/>
      <c r="G1231" s="26"/>
      <c r="H1231" s="26"/>
      <c r="I1231" s="26"/>
      <c r="J1231" s="26"/>
      <c r="L1231" s="45"/>
      <c r="M1231" s="45"/>
      <c r="N1231" s="137"/>
      <c r="O1231" s="137"/>
    </row>
    <row r="1232" customHeight="1" spans="3:15">
      <c r="C1232" s="12"/>
      <c r="D1232" s="12"/>
      <c r="E1232" s="26"/>
      <c r="F1232" s="26"/>
      <c r="G1232" s="26"/>
      <c r="H1232" s="26"/>
      <c r="I1232" s="26"/>
      <c r="J1232" s="26"/>
      <c r="L1232" s="45"/>
      <c r="M1232" s="45"/>
      <c r="N1232" s="137"/>
      <c r="O1232" s="137"/>
    </row>
    <row r="1233" customHeight="1" spans="3:15">
      <c r="C1233" s="12"/>
      <c r="D1233" s="12"/>
      <c r="E1233" s="26"/>
      <c r="F1233" s="26"/>
      <c r="G1233" s="26"/>
      <c r="H1233" s="26"/>
      <c r="I1233" s="26"/>
      <c r="J1233" s="26"/>
      <c r="L1233" s="45"/>
      <c r="M1233" s="45"/>
      <c r="N1233" s="137"/>
      <c r="O1233" s="137"/>
    </row>
    <row r="1234" customHeight="1" spans="3:15">
      <c r="C1234" s="12"/>
      <c r="D1234" s="12"/>
      <c r="E1234" s="26"/>
      <c r="F1234" s="26"/>
      <c r="G1234" s="26"/>
      <c r="H1234" s="26"/>
      <c r="I1234" s="26"/>
      <c r="J1234" s="26"/>
      <c r="L1234" s="45"/>
      <c r="M1234" s="45"/>
      <c r="N1234" s="137"/>
      <c r="O1234" s="137"/>
    </row>
    <row r="1235" customHeight="1" spans="3:15">
      <c r="C1235" s="12"/>
      <c r="D1235" s="12"/>
      <c r="E1235" s="26"/>
      <c r="F1235" s="26"/>
      <c r="G1235" s="26"/>
      <c r="H1235" s="26"/>
      <c r="I1235" s="26"/>
      <c r="J1235" s="26"/>
      <c r="L1235" s="45"/>
      <c r="M1235" s="45"/>
      <c r="N1235" s="137"/>
      <c r="O1235" s="137"/>
    </row>
    <row r="1236" customHeight="1" spans="3:15">
      <c r="C1236" s="12"/>
      <c r="D1236" s="12"/>
      <c r="E1236" s="26"/>
      <c r="F1236" s="26"/>
      <c r="G1236" s="26"/>
      <c r="H1236" s="26"/>
      <c r="I1236" s="26"/>
      <c r="J1236" s="26"/>
      <c r="L1236" s="45"/>
      <c r="M1236" s="45"/>
      <c r="N1236" s="137"/>
      <c r="O1236" s="137"/>
    </row>
    <row r="1237" customHeight="1" spans="3:15">
      <c r="C1237" s="12"/>
      <c r="D1237" s="12"/>
      <c r="E1237" s="26"/>
      <c r="F1237" s="26"/>
      <c r="G1237" s="26"/>
      <c r="H1237" s="26"/>
      <c r="I1237" s="26"/>
      <c r="J1237" s="26"/>
      <c r="L1237" s="45"/>
      <c r="M1237" s="45"/>
      <c r="N1237" s="137"/>
      <c r="O1237" s="137"/>
    </row>
    <row r="1238" customHeight="1" spans="3:15">
      <c r="C1238" s="12"/>
      <c r="D1238" s="12"/>
      <c r="E1238" s="26"/>
      <c r="F1238" s="26"/>
      <c r="G1238" s="26"/>
      <c r="H1238" s="26"/>
      <c r="I1238" s="26"/>
      <c r="J1238" s="26"/>
      <c r="L1238" s="45"/>
      <c r="M1238" s="45"/>
      <c r="N1238" s="137"/>
      <c r="O1238" s="137"/>
    </row>
    <row r="1239" customHeight="1" spans="3:15">
      <c r="C1239" s="12"/>
      <c r="D1239" s="12"/>
      <c r="E1239" s="26"/>
      <c r="F1239" s="26"/>
      <c r="G1239" s="26"/>
      <c r="H1239" s="26"/>
      <c r="I1239" s="26"/>
      <c r="J1239" s="26"/>
      <c r="L1239" s="45"/>
      <c r="M1239" s="45"/>
      <c r="N1239" s="137"/>
      <c r="O1239" s="137"/>
    </row>
    <row r="1240" customHeight="1" spans="3:15">
      <c r="C1240" s="12"/>
      <c r="D1240" s="12"/>
      <c r="E1240" s="26"/>
      <c r="F1240" s="26"/>
      <c r="G1240" s="26"/>
      <c r="H1240" s="26"/>
      <c r="I1240" s="26"/>
      <c r="J1240" s="26"/>
      <c r="L1240" s="45"/>
      <c r="M1240" s="45"/>
      <c r="N1240" s="137"/>
      <c r="O1240" s="137"/>
    </row>
    <row r="1241" customHeight="1" spans="3:15">
      <c r="C1241" s="12"/>
      <c r="D1241" s="12"/>
      <c r="E1241" s="26"/>
      <c r="F1241" s="26"/>
      <c r="G1241" s="26"/>
      <c r="H1241" s="26"/>
      <c r="I1241" s="26"/>
      <c r="J1241" s="26"/>
      <c r="L1241" s="45"/>
      <c r="M1241" s="45"/>
      <c r="N1241" s="137"/>
      <c r="O1241" s="137"/>
    </row>
    <row r="1242" customHeight="1" spans="3:15">
      <c r="C1242" s="12"/>
      <c r="D1242" s="12"/>
      <c r="E1242" s="26"/>
      <c r="F1242" s="26"/>
      <c r="G1242" s="26"/>
      <c r="H1242" s="26"/>
      <c r="I1242" s="26"/>
      <c r="J1242" s="26"/>
      <c r="L1242" s="45"/>
      <c r="M1242" s="45"/>
      <c r="N1242" s="137"/>
      <c r="O1242" s="137"/>
    </row>
    <row r="1243" customHeight="1" spans="3:15">
      <c r="C1243" s="12"/>
      <c r="D1243" s="12"/>
      <c r="E1243" s="26"/>
      <c r="F1243" s="26"/>
      <c r="G1243" s="26"/>
      <c r="H1243" s="26"/>
      <c r="I1243" s="26"/>
      <c r="J1243" s="26"/>
      <c r="L1243" s="45"/>
      <c r="M1243" s="45"/>
      <c r="N1243" s="137"/>
      <c r="O1243" s="137"/>
    </row>
    <row r="1244" customHeight="1" spans="3:15">
      <c r="C1244" s="12"/>
      <c r="D1244" s="12"/>
      <c r="E1244" s="26"/>
      <c r="F1244" s="26"/>
      <c r="G1244" s="26"/>
      <c r="H1244" s="26"/>
      <c r="I1244" s="26"/>
      <c r="J1244" s="26"/>
      <c r="L1244" s="45"/>
      <c r="M1244" s="45"/>
      <c r="N1244" s="137"/>
      <c r="O1244" s="137"/>
    </row>
    <row r="1245" customHeight="1" spans="3:15">
      <c r="C1245" s="12"/>
      <c r="D1245" s="12"/>
      <c r="E1245" s="26"/>
      <c r="F1245" s="26"/>
      <c r="G1245" s="26"/>
      <c r="H1245" s="26"/>
      <c r="I1245" s="26"/>
      <c r="J1245" s="26"/>
      <c r="L1245" s="45"/>
      <c r="M1245" s="45"/>
      <c r="N1245" s="137"/>
      <c r="O1245" s="137"/>
    </row>
    <row r="1246" customHeight="1" spans="3:15">
      <c r="C1246" s="12"/>
      <c r="D1246" s="12"/>
      <c r="E1246" s="26"/>
      <c r="F1246" s="26"/>
      <c r="G1246" s="26"/>
      <c r="H1246" s="26"/>
      <c r="I1246" s="26"/>
      <c r="J1246" s="26"/>
      <c r="L1246" s="45"/>
      <c r="M1246" s="45"/>
      <c r="N1246" s="137"/>
      <c r="O1246" s="137"/>
    </row>
    <row r="1247" customHeight="1" spans="3:15">
      <c r="C1247" s="12"/>
      <c r="D1247" s="12"/>
      <c r="E1247" s="26"/>
      <c r="F1247" s="26"/>
      <c r="G1247" s="26"/>
      <c r="H1247" s="26"/>
      <c r="I1247" s="26"/>
      <c r="J1247" s="26"/>
      <c r="L1247" s="45"/>
      <c r="M1247" s="45"/>
      <c r="N1247" s="137"/>
      <c r="O1247" s="137"/>
    </row>
    <row r="1248" customHeight="1" spans="3:15">
      <c r="C1248" s="12"/>
      <c r="D1248" s="12"/>
      <c r="E1248" s="26"/>
      <c r="F1248" s="26"/>
      <c r="G1248" s="26"/>
      <c r="H1248" s="26"/>
      <c r="I1248" s="26"/>
      <c r="J1248" s="26"/>
      <c r="L1248" s="45"/>
      <c r="M1248" s="45"/>
      <c r="N1248" s="137"/>
      <c r="O1248" s="137"/>
    </row>
    <row r="1249" customHeight="1" spans="3:15">
      <c r="C1249" s="12"/>
      <c r="D1249" s="12"/>
      <c r="E1249" s="26"/>
      <c r="F1249" s="26"/>
      <c r="G1249" s="26"/>
      <c r="H1249" s="26"/>
      <c r="I1249" s="26"/>
      <c r="J1249" s="26"/>
      <c r="L1249" s="45"/>
      <c r="M1249" s="45"/>
      <c r="N1249" s="137"/>
      <c r="O1249" s="137"/>
    </row>
    <row r="1250" customHeight="1" spans="3:15">
      <c r="C1250" s="12"/>
      <c r="D1250" s="12"/>
      <c r="E1250" s="26"/>
      <c r="F1250" s="26"/>
      <c r="G1250" s="26"/>
      <c r="H1250" s="26"/>
      <c r="I1250" s="26"/>
      <c r="J1250" s="26"/>
      <c r="L1250" s="45"/>
      <c r="M1250" s="45"/>
      <c r="N1250" s="137"/>
      <c r="O1250" s="137"/>
    </row>
    <row r="1251" customHeight="1" spans="3:15">
      <c r="C1251" s="12"/>
      <c r="D1251" s="12"/>
      <c r="E1251" s="26"/>
      <c r="F1251" s="26"/>
      <c r="G1251" s="26"/>
      <c r="H1251" s="26"/>
      <c r="I1251" s="26"/>
      <c r="J1251" s="26"/>
      <c r="L1251" s="45"/>
      <c r="M1251" s="45"/>
      <c r="N1251" s="137"/>
      <c r="O1251" s="137"/>
    </row>
    <row r="1252" customHeight="1" spans="3:15">
      <c r="C1252" s="12"/>
      <c r="D1252" s="12"/>
      <c r="E1252" s="26"/>
      <c r="F1252" s="26"/>
      <c r="G1252" s="26"/>
      <c r="H1252" s="26"/>
      <c r="I1252" s="26"/>
      <c r="J1252" s="26"/>
      <c r="L1252" s="45"/>
      <c r="M1252" s="45"/>
      <c r="N1252" s="137"/>
      <c r="O1252" s="137"/>
    </row>
    <row r="1253" customHeight="1" spans="3:15">
      <c r="C1253" s="12"/>
      <c r="D1253" s="12"/>
      <c r="E1253" s="26"/>
      <c r="F1253" s="26"/>
      <c r="G1253" s="26"/>
      <c r="H1253" s="26"/>
      <c r="I1253" s="26"/>
      <c r="J1253" s="26"/>
      <c r="L1253" s="45"/>
      <c r="M1253" s="45"/>
      <c r="N1253" s="137"/>
      <c r="O1253" s="137"/>
    </row>
    <row r="1254" customHeight="1" spans="3:15">
      <c r="C1254" s="12"/>
      <c r="D1254" s="12"/>
      <c r="E1254" s="26"/>
      <c r="F1254" s="26"/>
      <c r="G1254" s="26"/>
      <c r="H1254" s="26"/>
      <c r="I1254" s="26"/>
      <c r="J1254" s="26"/>
      <c r="L1254" s="45"/>
      <c r="M1254" s="45"/>
      <c r="N1254" s="137"/>
      <c r="O1254" s="137"/>
    </row>
    <row r="1255" customHeight="1" spans="3:15">
      <c r="C1255" s="12"/>
      <c r="D1255" s="12"/>
      <c r="E1255" s="26"/>
      <c r="F1255" s="26"/>
      <c r="G1255" s="26"/>
      <c r="H1255" s="26"/>
      <c r="I1255" s="26"/>
      <c r="J1255" s="26"/>
      <c r="L1255" s="45"/>
      <c r="M1255" s="45"/>
      <c r="N1255" s="137"/>
      <c r="O1255" s="137"/>
    </row>
    <row r="1256" customHeight="1" spans="3:15">
      <c r="C1256" s="12"/>
      <c r="D1256" s="12"/>
      <c r="E1256" s="26"/>
      <c r="F1256" s="26"/>
      <c r="G1256" s="26"/>
      <c r="H1256" s="26"/>
      <c r="I1256" s="26"/>
      <c r="J1256" s="26"/>
      <c r="L1256" s="45"/>
      <c r="M1256" s="45"/>
      <c r="N1256" s="137"/>
      <c r="O1256" s="137"/>
    </row>
    <row r="1257" customHeight="1" spans="3:15">
      <c r="C1257" s="12"/>
      <c r="D1257" s="12"/>
      <c r="E1257" s="26"/>
      <c r="F1257" s="26"/>
      <c r="G1257" s="26"/>
      <c r="H1257" s="26"/>
      <c r="I1257" s="26"/>
      <c r="J1257" s="26"/>
      <c r="L1257" s="45"/>
      <c r="M1257" s="45"/>
      <c r="N1257" s="137"/>
      <c r="O1257" s="137"/>
    </row>
    <row r="1258" customHeight="1" spans="3:15">
      <c r="C1258" s="12"/>
      <c r="D1258" s="12"/>
      <c r="E1258" s="26"/>
      <c r="F1258" s="26"/>
      <c r="G1258" s="26"/>
      <c r="H1258" s="26"/>
      <c r="I1258" s="26"/>
      <c r="J1258" s="26"/>
      <c r="L1258" s="45"/>
      <c r="M1258" s="45"/>
      <c r="N1258" s="137"/>
      <c r="O1258" s="137"/>
    </row>
    <row r="1259" customHeight="1" spans="3:15">
      <c r="C1259" s="12"/>
      <c r="D1259" s="12"/>
      <c r="E1259" s="26"/>
      <c r="F1259" s="26"/>
      <c r="G1259" s="26"/>
      <c r="H1259" s="26"/>
      <c r="I1259" s="26"/>
      <c r="J1259" s="26"/>
      <c r="L1259" s="45"/>
      <c r="M1259" s="45"/>
      <c r="N1259" s="137"/>
      <c r="O1259" s="137"/>
    </row>
    <row r="1260" customHeight="1" spans="3:15">
      <c r="C1260" s="12"/>
      <c r="D1260" s="12"/>
      <c r="E1260" s="26"/>
      <c r="F1260" s="26"/>
      <c r="G1260" s="26"/>
      <c r="H1260" s="26"/>
      <c r="I1260" s="26"/>
      <c r="J1260" s="26"/>
      <c r="L1260" s="45"/>
      <c r="M1260" s="45"/>
      <c r="N1260" s="137"/>
      <c r="O1260" s="137"/>
    </row>
    <row r="1261" customHeight="1" spans="3:15">
      <c r="C1261" s="12"/>
      <c r="D1261" s="12"/>
      <c r="E1261" s="26"/>
      <c r="F1261" s="26"/>
      <c r="G1261" s="26"/>
      <c r="H1261" s="26"/>
      <c r="I1261" s="26"/>
      <c r="J1261" s="26"/>
      <c r="L1261" s="45"/>
      <c r="M1261" s="45"/>
      <c r="N1261" s="137"/>
      <c r="O1261" s="137"/>
    </row>
    <row r="1262" customHeight="1" spans="3:15">
      <c r="C1262" s="12"/>
      <c r="D1262" s="12"/>
      <c r="E1262" s="26"/>
      <c r="F1262" s="26"/>
      <c r="G1262" s="26"/>
      <c r="H1262" s="26"/>
      <c r="I1262" s="26"/>
      <c r="J1262" s="26"/>
      <c r="L1262" s="45"/>
      <c r="M1262" s="45"/>
      <c r="N1262" s="137"/>
      <c r="O1262" s="137"/>
    </row>
    <row r="1263" customHeight="1" spans="3:15">
      <c r="C1263" s="12"/>
      <c r="D1263" s="12"/>
      <c r="E1263" s="26"/>
      <c r="F1263" s="26"/>
      <c r="G1263" s="26"/>
      <c r="H1263" s="26"/>
      <c r="I1263" s="26"/>
      <c r="J1263" s="26"/>
      <c r="L1263" s="45"/>
      <c r="M1263" s="45"/>
      <c r="N1263" s="137"/>
      <c r="O1263" s="137"/>
    </row>
    <row r="1264" customHeight="1" spans="3:15">
      <c r="C1264" s="12"/>
      <c r="D1264" s="12"/>
      <c r="E1264" s="26"/>
      <c r="F1264" s="26"/>
      <c r="G1264" s="26"/>
      <c r="H1264" s="26"/>
      <c r="I1264" s="26"/>
      <c r="J1264" s="26"/>
      <c r="L1264" s="45"/>
      <c r="M1264" s="45"/>
      <c r="N1264" s="137"/>
      <c r="O1264" s="137"/>
    </row>
    <row r="1265" customHeight="1" spans="3:15">
      <c r="C1265" s="12"/>
      <c r="D1265" s="12"/>
      <c r="E1265" s="26"/>
      <c r="F1265" s="26"/>
      <c r="G1265" s="26"/>
      <c r="H1265" s="26"/>
      <c r="I1265" s="26"/>
      <c r="J1265" s="26"/>
      <c r="L1265" s="45"/>
      <c r="M1265" s="45"/>
      <c r="N1265" s="137"/>
      <c r="O1265" s="137"/>
    </row>
    <row r="1266" customHeight="1" spans="3:15">
      <c r="C1266" s="12"/>
      <c r="D1266" s="12"/>
      <c r="E1266" s="26"/>
      <c r="F1266" s="26"/>
      <c r="G1266" s="26"/>
      <c r="H1266" s="26"/>
      <c r="I1266" s="26"/>
      <c r="J1266" s="26"/>
      <c r="L1266" s="45"/>
      <c r="M1266" s="45"/>
      <c r="N1266" s="137"/>
      <c r="O1266" s="137"/>
    </row>
    <row r="1267" customHeight="1" spans="3:15">
      <c r="C1267" s="12"/>
      <c r="D1267" s="12"/>
      <c r="E1267" s="26"/>
      <c r="F1267" s="26"/>
      <c r="G1267" s="26"/>
      <c r="H1267" s="26"/>
      <c r="I1267" s="26"/>
      <c r="J1267" s="26"/>
      <c r="L1267" s="45"/>
      <c r="M1267" s="45"/>
      <c r="N1267" s="137"/>
      <c r="O1267" s="137"/>
    </row>
    <row r="1268" customHeight="1" spans="3:15">
      <c r="C1268" s="12"/>
      <c r="D1268" s="12"/>
      <c r="E1268" s="26"/>
      <c r="F1268" s="26"/>
      <c r="G1268" s="26"/>
      <c r="H1268" s="26"/>
      <c r="I1268" s="26"/>
      <c r="J1268" s="26"/>
      <c r="L1268" s="45"/>
      <c r="M1268" s="45"/>
      <c r="N1268" s="137"/>
      <c r="O1268" s="137"/>
    </row>
    <row r="1269" customHeight="1" spans="3:15">
      <c r="C1269" s="12"/>
      <c r="D1269" s="12"/>
      <c r="E1269" s="26"/>
      <c r="F1269" s="26"/>
      <c r="G1269" s="26"/>
      <c r="H1269" s="26"/>
      <c r="I1269" s="26"/>
      <c r="J1269" s="26"/>
      <c r="L1269" s="45"/>
      <c r="M1269" s="45"/>
      <c r="N1269" s="137"/>
      <c r="O1269" s="137"/>
    </row>
    <row r="1270" customHeight="1" spans="3:15">
      <c r="C1270" s="12"/>
      <c r="D1270" s="12"/>
      <c r="E1270" s="26"/>
      <c r="F1270" s="26"/>
      <c r="G1270" s="26"/>
      <c r="H1270" s="26"/>
      <c r="I1270" s="26"/>
      <c r="J1270" s="26"/>
      <c r="L1270" s="45"/>
      <c r="M1270" s="45"/>
      <c r="N1270" s="137"/>
      <c r="O1270" s="137"/>
    </row>
    <row r="1271" customHeight="1" spans="3:15">
      <c r="C1271" s="12"/>
      <c r="D1271" s="12"/>
      <c r="E1271" s="26"/>
      <c r="F1271" s="26"/>
      <c r="G1271" s="26"/>
      <c r="H1271" s="26"/>
      <c r="I1271" s="26"/>
      <c r="J1271" s="26"/>
      <c r="L1271" s="45"/>
      <c r="M1271" s="45"/>
      <c r="N1271" s="137"/>
      <c r="O1271" s="137"/>
    </row>
    <row r="1272" customHeight="1" spans="3:15">
      <c r="C1272" s="12"/>
      <c r="D1272" s="12"/>
      <c r="E1272" s="26"/>
      <c r="F1272" s="26"/>
      <c r="G1272" s="26"/>
      <c r="H1272" s="26"/>
      <c r="I1272" s="26"/>
      <c r="J1272" s="26"/>
      <c r="L1272" s="45"/>
      <c r="M1272" s="45"/>
      <c r="N1272" s="137"/>
      <c r="O1272" s="137"/>
    </row>
    <row r="1273" customHeight="1" spans="3:15">
      <c r="C1273" s="12"/>
      <c r="D1273" s="12"/>
      <c r="E1273" s="26"/>
      <c r="F1273" s="26"/>
      <c r="G1273" s="26"/>
      <c r="H1273" s="26"/>
      <c r="I1273" s="26"/>
      <c r="J1273" s="26"/>
      <c r="L1273" s="45"/>
      <c r="M1273" s="45"/>
      <c r="N1273" s="137"/>
      <c r="O1273" s="137"/>
    </row>
    <row r="1274" customHeight="1" spans="3:15">
      <c r="C1274" s="12"/>
      <c r="D1274" s="12"/>
      <c r="E1274" s="26"/>
      <c r="F1274" s="26"/>
      <c r="G1274" s="26"/>
      <c r="H1274" s="26"/>
      <c r="I1274" s="26"/>
      <c r="J1274" s="26"/>
      <c r="L1274" s="45"/>
      <c r="M1274" s="45"/>
      <c r="N1274" s="137"/>
      <c r="O1274" s="137"/>
    </row>
    <row r="1275" customHeight="1" spans="3:15">
      <c r="C1275" s="12"/>
      <c r="D1275" s="12"/>
      <c r="E1275" s="26"/>
      <c r="F1275" s="26"/>
      <c r="G1275" s="26"/>
      <c r="H1275" s="26"/>
      <c r="I1275" s="26"/>
      <c r="J1275" s="26"/>
      <c r="L1275" s="45"/>
      <c r="M1275" s="45"/>
      <c r="N1275" s="137"/>
      <c r="O1275" s="137"/>
    </row>
    <row r="1276" customHeight="1" spans="3:15">
      <c r="C1276" s="12"/>
      <c r="D1276" s="12"/>
      <c r="E1276" s="26"/>
      <c r="F1276" s="26"/>
      <c r="G1276" s="26"/>
      <c r="H1276" s="26"/>
      <c r="I1276" s="26"/>
      <c r="J1276" s="26"/>
      <c r="L1276" s="45"/>
      <c r="M1276" s="45"/>
      <c r="N1276" s="137"/>
      <c r="O1276" s="137"/>
    </row>
    <row r="1277" customHeight="1" spans="3:15">
      <c r="C1277" s="12"/>
      <c r="D1277" s="12"/>
      <c r="E1277" s="26"/>
      <c r="F1277" s="26"/>
      <c r="G1277" s="26"/>
      <c r="H1277" s="26"/>
      <c r="I1277" s="26"/>
      <c r="J1277" s="26"/>
      <c r="L1277" s="45"/>
      <c r="M1277" s="45"/>
      <c r="N1277" s="137"/>
      <c r="O1277" s="137"/>
    </row>
    <row r="1278" customHeight="1" spans="3:15">
      <c r="C1278" s="12"/>
      <c r="D1278" s="12"/>
      <c r="E1278" s="26"/>
      <c r="F1278" s="26"/>
      <c r="G1278" s="26"/>
      <c r="H1278" s="26"/>
      <c r="I1278" s="26"/>
      <c r="J1278" s="26"/>
      <c r="L1278" s="45"/>
      <c r="M1278" s="45"/>
      <c r="N1278" s="137"/>
      <c r="O1278" s="137"/>
    </row>
    <row r="1279" customHeight="1" spans="3:15">
      <c r="C1279" s="12"/>
      <c r="D1279" s="12"/>
      <c r="E1279" s="26"/>
      <c r="F1279" s="26"/>
      <c r="G1279" s="26"/>
      <c r="H1279" s="26"/>
      <c r="I1279" s="26"/>
      <c r="J1279" s="26"/>
      <c r="L1279" s="45"/>
      <c r="M1279" s="45"/>
      <c r="N1279" s="137"/>
      <c r="O1279" s="137"/>
    </row>
    <row r="1280" customHeight="1" spans="3:15">
      <c r="C1280" s="12"/>
      <c r="D1280" s="12"/>
      <c r="E1280" s="26"/>
      <c r="F1280" s="26"/>
      <c r="G1280" s="26"/>
      <c r="H1280" s="26"/>
      <c r="I1280" s="26"/>
      <c r="J1280" s="26"/>
      <c r="L1280" s="45"/>
      <c r="M1280" s="45"/>
      <c r="N1280" s="137"/>
      <c r="O1280" s="137"/>
    </row>
    <row r="1281" customHeight="1" spans="3:15">
      <c r="C1281" s="12"/>
      <c r="D1281" s="12"/>
      <c r="E1281" s="26"/>
      <c r="F1281" s="26"/>
      <c r="G1281" s="26"/>
      <c r="H1281" s="26"/>
      <c r="I1281" s="26"/>
      <c r="J1281" s="26"/>
      <c r="L1281" s="45"/>
      <c r="M1281" s="45"/>
      <c r="N1281" s="137"/>
      <c r="O1281" s="137"/>
    </row>
    <row r="1282" customHeight="1" spans="3:15">
      <c r="C1282" s="12"/>
      <c r="D1282" s="12"/>
      <c r="E1282" s="26"/>
      <c r="F1282" s="26"/>
      <c r="G1282" s="26"/>
      <c r="H1282" s="26"/>
      <c r="I1282" s="26"/>
      <c r="J1282" s="26"/>
      <c r="L1282" s="45"/>
      <c r="M1282" s="45"/>
      <c r="N1282" s="137"/>
      <c r="O1282" s="137"/>
    </row>
    <row r="1283" customHeight="1" spans="3:15">
      <c r="C1283" s="12"/>
      <c r="D1283" s="12"/>
      <c r="E1283" s="26"/>
      <c r="F1283" s="26"/>
      <c r="G1283" s="26"/>
      <c r="H1283" s="26"/>
      <c r="I1283" s="26"/>
      <c r="J1283" s="26"/>
      <c r="L1283" s="45"/>
      <c r="M1283" s="45"/>
      <c r="N1283" s="137"/>
      <c r="O1283" s="137"/>
    </row>
    <row r="1284" customHeight="1" spans="3:15">
      <c r="C1284" s="12"/>
      <c r="D1284" s="12"/>
      <c r="E1284" s="26"/>
      <c r="F1284" s="26"/>
      <c r="G1284" s="26"/>
      <c r="H1284" s="26"/>
      <c r="I1284" s="26"/>
      <c r="J1284" s="26"/>
      <c r="L1284" s="45"/>
      <c r="M1284" s="45"/>
      <c r="N1284" s="137"/>
      <c r="O1284" s="137"/>
    </row>
    <row r="1285" customHeight="1" spans="3:15">
      <c r="C1285" s="12"/>
      <c r="D1285" s="12"/>
      <c r="E1285" s="26"/>
      <c r="F1285" s="26"/>
      <c r="G1285" s="26"/>
      <c r="H1285" s="26"/>
      <c r="I1285" s="26"/>
      <c r="J1285" s="26"/>
      <c r="L1285" s="45"/>
      <c r="M1285" s="45"/>
      <c r="N1285" s="137"/>
      <c r="O1285" s="137"/>
    </row>
    <row r="1286" customHeight="1" spans="3:15">
      <c r="C1286" s="12"/>
      <c r="D1286" s="12"/>
      <c r="E1286" s="26"/>
      <c r="F1286" s="26"/>
      <c r="G1286" s="26"/>
      <c r="H1286" s="26"/>
      <c r="I1286" s="26"/>
      <c r="J1286" s="26"/>
      <c r="L1286" s="45"/>
      <c r="M1286" s="45"/>
      <c r="N1286" s="137"/>
      <c r="O1286" s="137"/>
    </row>
    <row r="1287" customHeight="1" spans="3:15">
      <c r="C1287" s="12"/>
      <c r="D1287" s="12"/>
      <c r="E1287" s="26"/>
      <c r="F1287" s="26"/>
      <c r="G1287" s="26"/>
      <c r="H1287" s="26"/>
      <c r="I1287" s="26"/>
      <c r="J1287" s="26"/>
      <c r="L1287" s="45"/>
      <c r="M1287" s="45"/>
      <c r="N1287" s="137"/>
      <c r="O1287" s="137"/>
    </row>
    <row r="1288" customHeight="1" spans="3:15">
      <c r="C1288" s="12"/>
      <c r="D1288" s="12"/>
      <c r="E1288" s="26"/>
      <c r="F1288" s="26"/>
      <c r="G1288" s="26"/>
      <c r="H1288" s="26"/>
      <c r="I1288" s="26"/>
      <c r="J1288" s="26"/>
      <c r="L1288" s="45"/>
      <c r="M1288" s="45"/>
      <c r="N1288" s="137"/>
      <c r="O1288" s="137"/>
    </row>
    <row r="1289" customHeight="1" spans="3:15">
      <c r="C1289" s="12"/>
      <c r="D1289" s="12"/>
      <c r="E1289" s="26"/>
      <c r="F1289" s="26"/>
      <c r="G1289" s="26"/>
      <c r="H1289" s="26"/>
      <c r="I1289" s="26"/>
      <c r="J1289" s="26"/>
      <c r="L1289" s="45"/>
      <c r="M1289" s="45"/>
      <c r="N1289" s="137"/>
      <c r="O1289" s="137"/>
    </row>
    <row r="1290" customHeight="1" spans="3:15">
      <c r="C1290" s="12"/>
      <c r="D1290" s="12"/>
      <c r="E1290" s="26"/>
      <c r="F1290" s="26"/>
      <c r="G1290" s="26"/>
      <c r="H1290" s="26"/>
      <c r="I1290" s="26"/>
      <c r="J1290" s="26"/>
      <c r="L1290" s="45"/>
      <c r="M1290" s="45"/>
      <c r="N1290" s="137"/>
      <c r="O1290" s="137"/>
    </row>
    <row r="1291" customHeight="1" spans="3:15">
      <c r="C1291" s="12"/>
      <c r="D1291" s="12"/>
      <c r="E1291" s="26"/>
      <c r="F1291" s="26"/>
      <c r="G1291" s="26"/>
      <c r="H1291" s="26"/>
      <c r="I1291" s="26"/>
      <c r="J1291" s="26"/>
      <c r="L1291" s="45"/>
      <c r="M1291" s="45"/>
      <c r="N1291" s="137"/>
      <c r="O1291" s="137"/>
    </row>
    <row r="1292" customHeight="1" spans="3:15">
      <c r="C1292" s="12"/>
      <c r="D1292" s="12"/>
      <c r="E1292" s="26"/>
      <c r="F1292" s="26"/>
      <c r="G1292" s="26"/>
      <c r="H1292" s="26"/>
      <c r="I1292" s="26"/>
      <c r="J1292" s="26"/>
      <c r="L1292" s="45"/>
      <c r="M1292" s="45"/>
      <c r="N1292" s="137"/>
      <c r="O1292" s="137"/>
    </row>
    <row r="1293" customHeight="1" spans="3:15">
      <c r="C1293" s="12"/>
      <c r="D1293" s="12"/>
      <c r="E1293" s="26"/>
      <c r="F1293" s="26"/>
      <c r="G1293" s="26"/>
      <c r="H1293" s="26"/>
      <c r="I1293" s="26"/>
      <c r="J1293" s="26"/>
      <c r="L1293" s="45"/>
      <c r="M1293" s="45"/>
      <c r="N1293" s="137"/>
      <c r="O1293" s="137"/>
    </row>
    <row r="1294" customHeight="1" spans="3:15">
      <c r="C1294" s="12"/>
      <c r="D1294" s="12"/>
      <c r="E1294" s="26"/>
      <c r="F1294" s="26"/>
      <c r="G1294" s="26"/>
      <c r="H1294" s="26"/>
      <c r="I1294" s="26"/>
      <c r="J1294" s="26"/>
      <c r="L1294" s="45"/>
      <c r="M1294" s="45"/>
      <c r="N1294" s="137"/>
      <c r="O1294" s="137"/>
    </row>
    <row r="1295" customHeight="1" spans="3:15">
      <c r="C1295" s="12"/>
      <c r="D1295" s="12"/>
      <c r="E1295" s="26"/>
      <c r="F1295" s="26"/>
      <c r="G1295" s="26"/>
      <c r="H1295" s="26"/>
      <c r="I1295" s="26"/>
      <c r="J1295" s="26"/>
      <c r="L1295" s="45"/>
      <c r="M1295" s="45"/>
      <c r="N1295" s="137"/>
      <c r="O1295" s="137"/>
    </row>
    <row r="1296" customHeight="1" spans="3:15">
      <c r="C1296" s="12"/>
      <c r="D1296" s="12"/>
      <c r="E1296" s="26"/>
      <c r="F1296" s="26"/>
      <c r="G1296" s="26"/>
      <c r="H1296" s="26"/>
      <c r="I1296" s="26"/>
      <c r="J1296" s="26"/>
      <c r="L1296" s="45"/>
      <c r="M1296" s="45"/>
      <c r="N1296" s="137"/>
      <c r="O1296" s="137"/>
    </row>
    <row r="1297" customHeight="1" spans="3:15">
      <c r="C1297" s="12"/>
      <c r="D1297" s="12"/>
      <c r="E1297" s="26"/>
      <c r="F1297" s="26"/>
      <c r="G1297" s="26"/>
      <c r="H1297" s="26"/>
      <c r="I1297" s="26"/>
      <c r="J1297" s="26"/>
      <c r="L1297" s="45"/>
      <c r="M1297" s="45"/>
      <c r="N1297" s="137"/>
      <c r="O1297" s="137"/>
    </row>
    <row r="1298" customHeight="1" spans="3:15">
      <c r="C1298" s="12"/>
      <c r="D1298" s="12"/>
      <c r="E1298" s="26"/>
      <c r="F1298" s="26"/>
      <c r="G1298" s="26"/>
      <c r="H1298" s="26"/>
      <c r="I1298" s="26"/>
      <c r="J1298" s="26"/>
      <c r="L1298" s="45"/>
      <c r="M1298" s="45"/>
      <c r="N1298" s="137"/>
      <c r="O1298" s="137"/>
    </row>
    <row r="1299" customHeight="1" spans="3:15">
      <c r="C1299" s="12"/>
      <c r="D1299" s="12"/>
      <c r="E1299" s="26"/>
      <c r="F1299" s="26"/>
      <c r="G1299" s="26"/>
      <c r="H1299" s="26"/>
      <c r="I1299" s="26"/>
      <c r="J1299" s="26"/>
      <c r="L1299" s="45"/>
      <c r="M1299" s="45"/>
      <c r="N1299" s="137"/>
      <c r="O1299" s="137"/>
    </row>
    <row r="1300" customHeight="1" spans="3:15">
      <c r="C1300" s="12"/>
      <c r="D1300" s="12"/>
      <c r="E1300" s="26"/>
      <c r="F1300" s="26"/>
      <c r="G1300" s="26"/>
      <c r="H1300" s="26"/>
      <c r="I1300" s="26"/>
      <c r="J1300" s="26"/>
      <c r="L1300" s="45"/>
      <c r="M1300" s="45"/>
      <c r="N1300" s="137"/>
      <c r="O1300" s="137"/>
    </row>
    <row r="1301" customHeight="1" spans="3:15">
      <c r="C1301" s="12"/>
      <c r="D1301" s="12"/>
      <c r="E1301" s="26"/>
      <c r="F1301" s="26"/>
      <c r="G1301" s="26"/>
      <c r="H1301" s="26"/>
      <c r="I1301" s="26"/>
      <c r="J1301" s="26"/>
      <c r="L1301" s="45"/>
      <c r="M1301" s="45"/>
      <c r="N1301" s="137"/>
      <c r="O1301" s="137"/>
    </row>
    <row r="1302" customHeight="1" spans="3:15">
      <c r="C1302" s="12"/>
      <c r="D1302" s="12"/>
      <c r="E1302" s="26"/>
      <c r="F1302" s="26"/>
      <c r="G1302" s="26"/>
      <c r="H1302" s="26"/>
      <c r="I1302" s="26"/>
      <c r="J1302" s="26"/>
      <c r="L1302" s="45"/>
      <c r="M1302" s="45"/>
      <c r="N1302" s="137"/>
      <c r="O1302" s="137"/>
    </row>
    <row r="1303" customHeight="1" spans="3:15">
      <c r="C1303" s="12"/>
      <c r="D1303" s="12"/>
      <c r="E1303" s="26"/>
      <c r="F1303" s="26"/>
      <c r="G1303" s="26"/>
      <c r="H1303" s="26"/>
      <c r="I1303" s="26"/>
      <c r="J1303" s="26"/>
      <c r="L1303" s="45"/>
      <c r="M1303" s="45"/>
      <c r="N1303" s="137"/>
      <c r="O1303" s="137"/>
    </row>
    <row r="1304" customHeight="1" spans="3:15">
      <c r="C1304" s="12"/>
      <c r="D1304" s="12"/>
      <c r="E1304" s="26"/>
      <c r="F1304" s="26"/>
      <c r="G1304" s="26"/>
      <c r="H1304" s="26"/>
      <c r="I1304" s="26"/>
      <c r="J1304" s="26"/>
      <c r="L1304" s="45"/>
      <c r="M1304" s="45"/>
      <c r="N1304" s="137"/>
      <c r="O1304" s="137"/>
    </row>
    <row r="1305" customHeight="1" spans="3:15">
      <c r="C1305" s="12"/>
      <c r="D1305" s="12"/>
      <c r="E1305" s="26"/>
      <c r="F1305" s="26"/>
      <c r="G1305" s="26"/>
      <c r="H1305" s="26"/>
      <c r="I1305" s="26"/>
      <c r="J1305" s="26"/>
      <c r="L1305" s="45"/>
      <c r="M1305" s="45"/>
      <c r="N1305" s="137"/>
      <c r="O1305" s="137"/>
    </row>
    <row r="1306" customHeight="1" spans="3:15">
      <c r="C1306" s="12"/>
      <c r="D1306" s="12"/>
      <c r="E1306" s="26"/>
      <c r="F1306" s="26"/>
      <c r="G1306" s="26"/>
      <c r="H1306" s="26"/>
      <c r="I1306" s="26"/>
      <c r="J1306" s="26"/>
      <c r="L1306" s="45"/>
      <c r="M1306" s="45"/>
      <c r="N1306" s="137"/>
      <c r="O1306" s="137"/>
    </row>
    <row r="1307" customHeight="1" spans="3:15">
      <c r="C1307" s="12"/>
      <c r="D1307" s="12"/>
      <c r="E1307" s="26"/>
      <c r="F1307" s="26"/>
      <c r="G1307" s="26"/>
      <c r="H1307" s="26"/>
      <c r="I1307" s="26"/>
      <c r="J1307" s="26"/>
      <c r="L1307" s="45"/>
      <c r="M1307" s="45"/>
      <c r="N1307" s="137"/>
      <c r="O1307" s="137"/>
    </row>
    <row r="1308" customHeight="1" spans="3:15">
      <c r="C1308" s="12"/>
      <c r="D1308" s="12"/>
      <c r="E1308" s="26"/>
      <c r="F1308" s="26"/>
      <c r="G1308" s="26"/>
      <c r="H1308" s="26"/>
      <c r="I1308" s="26"/>
      <c r="J1308" s="26"/>
      <c r="L1308" s="45"/>
      <c r="M1308" s="45"/>
      <c r="N1308" s="137"/>
      <c r="O1308" s="137"/>
    </row>
    <row r="1309" customHeight="1" spans="3:15">
      <c r="C1309" s="12"/>
      <c r="D1309" s="12"/>
      <c r="E1309" s="26"/>
      <c r="F1309" s="26"/>
      <c r="G1309" s="26"/>
      <c r="H1309" s="26"/>
      <c r="I1309" s="26"/>
      <c r="J1309" s="26"/>
      <c r="L1309" s="45"/>
      <c r="M1309" s="45"/>
      <c r="N1309" s="137"/>
      <c r="O1309" s="137"/>
    </row>
    <row r="1310" customHeight="1" spans="3:15">
      <c r="C1310" s="12"/>
      <c r="D1310" s="12"/>
      <c r="E1310" s="26"/>
      <c r="F1310" s="26"/>
      <c r="G1310" s="26"/>
      <c r="H1310" s="26"/>
      <c r="I1310" s="26"/>
      <c r="J1310" s="26"/>
      <c r="L1310" s="45"/>
      <c r="M1310" s="45"/>
      <c r="N1310" s="137"/>
      <c r="O1310" s="137"/>
    </row>
    <row r="1311" customHeight="1" spans="3:15">
      <c r="C1311" s="12"/>
      <c r="D1311" s="12"/>
      <c r="E1311" s="26"/>
      <c r="F1311" s="26"/>
      <c r="G1311" s="26"/>
      <c r="H1311" s="26"/>
      <c r="I1311" s="26"/>
      <c r="J1311" s="26"/>
      <c r="L1311" s="45"/>
      <c r="M1311" s="45"/>
      <c r="N1311" s="137"/>
      <c r="O1311" s="137"/>
    </row>
    <row r="1312" customHeight="1" spans="3:15">
      <c r="C1312" s="12"/>
      <c r="D1312" s="12"/>
      <c r="E1312" s="26"/>
      <c r="F1312" s="26"/>
      <c r="G1312" s="26"/>
      <c r="H1312" s="26"/>
      <c r="I1312" s="26"/>
      <c r="J1312" s="26"/>
      <c r="L1312" s="45"/>
      <c r="M1312" s="45"/>
      <c r="N1312" s="137"/>
      <c r="O1312" s="137"/>
    </row>
    <row r="1313" customHeight="1" spans="3:15">
      <c r="C1313" s="12"/>
      <c r="D1313" s="12"/>
      <c r="E1313" s="26"/>
      <c r="F1313" s="26"/>
      <c r="G1313" s="26"/>
      <c r="H1313" s="26"/>
      <c r="I1313" s="26"/>
      <c r="J1313" s="26"/>
      <c r="L1313" s="45"/>
      <c r="M1313" s="45"/>
      <c r="N1313" s="137"/>
      <c r="O1313" s="137"/>
    </row>
    <row r="1314" customHeight="1" spans="3:15">
      <c r="C1314" s="12"/>
      <c r="D1314" s="12"/>
      <c r="E1314" s="26"/>
      <c r="F1314" s="26"/>
      <c r="G1314" s="26"/>
      <c r="H1314" s="26"/>
      <c r="I1314" s="26"/>
      <c r="J1314" s="26"/>
      <c r="L1314" s="45"/>
      <c r="M1314" s="45"/>
      <c r="N1314" s="137"/>
      <c r="O1314" s="137"/>
    </row>
    <row r="1315" customHeight="1" spans="3:15">
      <c r="C1315" s="12"/>
      <c r="D1315" s="12"/>
      <c r="E1315" s="26"/>
      <c r="F1315" s="26"/>
      <c r="G1315" s="26"/>
      <c r="H1315" s="26"/>
      <c r="I1315" s="26"/>
      <c r="J1315" s="26"/>
      <c r="L1315" s="45"/>
      <c r="M1315" s="45"/>
      <c r="N1315" s="137"/>
      <c r="O1315" s="137"/>
    </row>
    <row r="1316" customHeight="1" spans="3:15">
      <c r="C1316" s="12"/>
      <c r="D1316" s="12"/>
      <c r="E1316" s="26"/>
      <c r="F1316" s="26"/>
      <c r="G1316" s="26"/>
      <c r="H1316" s="26"/>
      <c r="I1316" s="26"/>
      <c r="J1316" s="26"/>
      <c r="L1316" s="45"/>
      <c r="M1316" s="45"/>
      <c r="N1316" s="137"/>
      <c r="O1316" s="137"/>
    </row>
    <row r="1317" customHeight="1" spans="3:15">
      <c r="C1317" s="12"/>
      <c r="D1317" s="12"/>
      <c r="E1317" s="26"/>
      <c r="F1317" s="26"/>
      <c r="G1317" s="26"/>
      <c r="H1317" s="26"/>
      <c r="I1317" s="26"/>
      <c r="J1317" s="26"/>
      <c r="L1317" s="45"/>
      <c r="M1317" s="45"/>
      <c r="N1317" s="137"/>
      <c r="O1317" s="137"/>
    </row>
    <row r="1318" customHeight="1" spans="3:15">
      <c r="C1318" s="12"/>
      <c r="D1318" s="12"/>
      <c r="E1318" s="26"/>
      <c r="F1318" s="26"/>
      <c r="G1318" s="26"/>
      <c r="H1318" s="26"/>
      <c r="I1318" s="26"/>
      <c r="J1318" s="26"/>
      <c r="L1318" s="45"/>
      <c r="M1318" s="45"/>
      <c r="N1318" s="137"/>
      <c r="O1318" s="137"/>
    </row>
    <row r="1319" customHeight="1" spans="3:15">
      <c r="C1319" s="12"/>
      <c r="D1319" s="12"/>
      <c r="E1319" s="26"/>
      <c r="F1319" s="26"/>
      <c r="G1319" s="26"/>
      <c r="H1319" s="26"/>
      <c r="I1319" s="26"/>
      <c r="J1319" s="26"/>
      <c r="L1319" s="45"/>
      <c r="M1319" s="45"/>
      <c r="N1319" s="137"/>
      <c r="O1319" s="137"/>
    </row>
  </sheetData>
  <autoFilter xmlns:etc="http://www.wps.cn/officeDocument/2017/etCustomData" ref="A1:K512" etc:filterBottomFollowUsedRange="0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M49"/>
  <sheetViews>
    <sheetView showGridLines="0" workbookViewId="0">
      <selection activeCell="A1" sqref="A1"/>
    </sheetView>
  </sheetViews>
  <sheetFormatPr defaultColWidth="11.2166666666667" defaultRowHeight="15.75" customHeight="1"/>
  <cols>
    <col min="2" max="2" width="8.66666666666667" customWidth="1"/>
    <col min="6" max="6" width="12.2166666666667" customWidth="1"/>
    <col min="9" max="9" width="8.89166666666667" customWidth="1"/>
    <col min="13" max="13" width="11.7833333333333" customWidth="1"/>
  </cols>
  <sheetData>
    <row r="2" customHeight="1" spans="1:8">
      <c r="A2" s="77" t="s">
        <v>232</v>
      </c>
      <c r="H2" s="77" t="s">
        <v>233</v>
      </c>
    </row>
    <row r="3" customHeight="1" spans="1:13">
      <c r="A3" s="78" t="s">
        <v>169</v>
      </c>
      <c r="B3" s="79" t="s">
        <v>215</v>
      </c>
      <c r="C3" s="78" t="s">
        <v>234</v>
      </c>
      <c r="D3" s="80" t="s">
        <v>235</v>
      </c>
      <c r="E3" s="80" t="s">
        <v>236</v>
      </c>
      <c r="F3" s="80" t="s">
        <v>237</v>
      </c>
      <c r="H3" s="81" t="s">
        <v>169</v>
      </c>
      <c r="I3" s="125" t="s">
        <v>215</v>
      </c>
      <c r="J3" s="78" t="s">
        <v>234</v>
      </c>
      <c r="K3" s="80" t="s">
        <v>235</v>
      </c>
      <c r="L3" s="80" t="s">
        <v>236</v>
      </c>
      <c r="M3" s="80" t="s">
        <v>237</v>
      </c>
    </row>
    <row r="4" customHeight="1" spans="1:13">
      <c r="A4" s="7" t="s">
        <v>124</v>
      </c>
      <c r="B4" s="8">
        <v>64</v>
      </c>
      <c r="C4" s="10">
        <v>4983.83</v>
      </c>
      <c r="D4" s="8">
        <v>94.27</v>
      </c>
      <c r="E4" s="82">
        <f t="shared" ref="E4:E5" si="0">C4-D4*B4</f>
        <v>-1049.45</v>
      </c>
      <c r="F4" s="83">
        <f>E6</f>
        <v>-1147.878471766</v>
      </c>
      <c r="H4" s="84" t="s">
        <v>153</v>
      </c>
      <c r="I4" s="93">
        <v>45</v>
      </c>
      <c r="J4" s="94">
        <v>6117.377735705</v>
      </c>
      <c r="K4" s="95">
        <v>163.63</v>
      </c>
      <c r="L4" s="95">
        <f t="shared" ref="L4:L9" si="1">J4-K4*I4</f>
        <v>-1245.972264295</v>
      </c>
      <c r="M4" s="96">
        <f>L10+F4</f>
        <v>-8474.344667271</v>
      </c>
    </row>
    <row r="5" customHeight="1" spans="1:13">
      <c r="A5" s="3" t="s">
        <v>124</v>
      </c>
      <c r="B5" s="4">
        <v>6</v>
      </c>
      <c r="C5" s="41">
        <v>467.191528234</v>
      </c>
      <c r="D5" s="4">
        <v>94.27</v>
      </c>
      <c r="E5" s="46">
        <f t="shared" si="0"/>
        <v>-98.428471766</v>
      </c>
      <c r="F5" s="85"/>
      <c r="H5" s="3" t="s">
        <v>156</v>
      </c>
      <c r="I5" s="4">
        <v>160</v>
      </c>
      <c r="J5" s="41">
        <v>16466.1318472</v>
      </c>
      <c r="K5" s="46">
        <v>114.92</v>
      </c>
      <c r="L5" s="46">
        <f t="shared" si="1"/>
        <v>-1921.0681528</v>
      </c>
      <c r="M5" s="85"/>
    </row>
    <row r="6" customHeight="1" spans="1:13">
      <c r="A6" s="86"/>
      <c r="B6" s="87"/>
      <c r="C6" s="88"/>
      <c r="D6" s="89" t="s">
        <v>238</v>
      </c>
      <c r="E6" s="90">
        <f>SUM(E4:E5)</f>
        <v>-1147.878471766</v>
      </c>
      <c r="F6" s="91"/>
      <c r="H6" s="84" t="s">
        <v>138</v>
      </c>
      <c r="I6" s="93">
        <v>30</v>
      </c>
      <c r="J6" s="126">
        <v>3300.23250012</v>
      </c>
      <c r="K6" s="95">
        <v>110.2</v>
      </c>
      <c r="L6" s="95">
        <f t="shared" si="1"/>
        <v>-5.76749987999983</v>
      </c>
      <c r="M6" s="97"/>
    </row>
    <row r="7" customHeight="1" spans="8:13">
      <c r="H7" s="3" t="s">
        <v>138</v>
      </c>
      <c r="I7" s="4">
        <v>104</v>
      </c>
      <c r="J7" s="41">
        <v>11442.99</v>
      </c>
      <c r="K7" s="46">
        <v>110.2</v>
      </c>
      <c r="L7" s="46">
        <f t="shared" si="1"/>
        <v>-17.8100000000013</v>
      </c>
      <c r="M7" s="85"/>
    </row>
    <row r="8" customHeight="1" spans="8:13">
      <c r="H8" s="84" t="s">
        <v>37</v>
      </c>
      <c r="I8" s="93">
        <v>20</v>
      </c>
      <c r="J8" s="126">
        <v>4271.92529732</v>
      </c>
      <c r="K8" s="95">
        <v>277.24</v>
      </c>
      <c r="L8" s="95">
        <f t="shared" si="1"/>
        <v>-1272.87470268</v>
      </c>
      <c r="M8" s="97"/>
    </row>
    <row r="9" customHeight="1" spans="8:13">
      <c r="H9" s="3" t="s">
        <v>37</v>
      </c>
      <c r="I9" s="4">
        <v>45</v>
      </c>
      <c r="J9" s="41">
        <v>9612.82642415</v>
      </c>
      <c r="K9" s="46">
        <v>277.24</v>
      </c>
      <c r="L9" s="46">
        <f t="shared" si="1"/>
        <v>-2862.97357585</v>
      </c>
      <c r="M9" s="85"/>
    </row>
    <row r="10" customHeight="1" spans="8:13">
      <c r="H10" s="92"/>
      <c r="I10" s="98"/>
      <c r="J10" s="127"/>
      <c r="K10" s="100" t="s">
        <v>238</v>
      </c>
      <c r="L10" s="100">
        <f>SUM(L4:L9)</f>
        <v>-7326.466195505</v>
      </c>
      <c r="M10" s="97"/>
    </row>
    <row r="11" customHeight="1" spans="8:11">
      <c r="H11" s="20"/>
      <c r="I11" s="20"/>
      <c r="J11" s="15"/>
      <c r="K11" s="15"/>
    </row>
    <row r="12" customHeight="1" spans="8:13">
      <c r="H12" s="45"/>
      <c r="I12" s="45"/>
      <c r="J12" s="19"/>
      <c r="K12" s="19"/>
      <c r="L12" s="45"/>
      <c r="M12" s="45"/>
    </row>
    <row r="13" customHeight="1" spans="8:13">
      <c r="H13" s="45"/>
      <c r="I13" s="45"/>
      <c r="J13" s="19"/>
      <c r="K13" s="19"/>
      <c r="L13" s="45"/>
      <c r="M13" s="45"/>
    </row>
    <row r="14" customHeight="1" spans="1:8">
      <c r="A14" s="77" t="s">
        <v>239</v>
      </c>
      <c r="H14" s="77" t="s">
        <v>240</v>
      </c>
    </row>
    <row r="15" customHeight="1" spans="1:13">
      <c r="A15" s="78" t="s">
        <v>169</v>
      </c>
      <c r="B15" s="79" t="s">
        <v>215</v>
      </c>
      <c r="C15" s="78" t="s">
        <v>234</v>
      </c>
      <c r="D15" s="80" t="s">
        <v>235</v>
      </c>
      <c r="E15" s="80" t="s">
        <v>241</v>
      </c>
      <c r="F15" s="80" t="s">
        <v>237</v>
      </c>
      <c r="H15" s="81" t="s">
        <v>169</v>
      </c>
      <c r="I15" s="125" t="s">
        <v>215</v>
      </c>
      <c r="J15" s="78" t="s">
        <v>234</v>
      </c>
      <c r="K15" s="80" t="s">
        <v>235</v>
      </c>
      <c r="L15" s="80" t="s">
        <v>241</v>
      </c>
      <c r="M15" s="80" t="s">
        <v>237</v>
      </c>
    </row>
    <row r="16" customHeight="1" spans="1:13">
      <c r="A16" s="84" t="s">
        <v>119</v>
      </c>
      <c r="B16" s="93">
        <v>124</v>
      </c>
      <c r="C16" s="94">
        <v>13943.88</v>
      </c>
      <c r="D16" s="95">
        <v>113.3</v>
      </c>
      <c r="E16" s="95">
        <f t="shared" ref="E16:E23" si="2">C16-D16*B16</f>
        <v>-105.32</v>
      </c>
      <c r="F16" s="96">
        <f>E24+M4</f>
        <v>-13791.9096869436</v>
      </c>
      <c r="H16" s="84" t="s">
        <v>149</v>
      </c>
      <c r="I16" s="93">
        <v>189</v>
      </c>
      <c r="J16" s="95">
        <v>22498.083067612</v>
      </c>
      <c r="K16" s="95">
        <v>138.28</v>
      </c>
      <c r="L16" s="95">
        <f t="shared" ref="L16:L17" si="3">J16-K16*I16</f>
        <v>-3636.836932388</v>
      </c>
      <c r="M16" s="96">
        <f>L18+F16</f>
        <v>-18275.3050177866</v>
      </c>
    </row>
    <row r="17" customHeight="1" spans="1:13">
      <c r="A17" s="3" t="s">
        <v>119</v>
      </c>
      <c r="B17" s="4">
        <v>52</v>
      </c>
      <c r="C17" s="41">
        <v>5840.23</v>
      </c>
      <c r="D17" s="46">
        <v>113.3</v>
      </c>
      <c r="E17" s="46">
        <f t="shared" si="2"/>
        <v>-51.3699999999999</v>
      </c>
      <c r="F17" s="85"/>
      <c r="H17" s="3" t="s">
        <v>149</v>
      </c>
      <c r="I17" s="4">
        <v>45</v>
      </c>
      <c r="J17" s="46">
        <v>5376.041601545</v>
      </c>
      <c r="K17" s="46">
        <v>138.28</v>
      </c>
      <c r="L17" s="46">
        <f t="shared" si="3"/>
        <v>-846.558398455</v>
      </c>
      <c r="M17" s="85"/>
    </row>
    <row r="18" customHeight="1" spans="1:13">
      <c r="A18" s="84" t="s">
        <v>114</v>
      </c>
      <c r="B18" s="93">
        <v>130</v>
      </c>
      <c r="C18" s="95">
        <v>12044.8651494964</v>
      </c>
      <c r="D18" s="95">
        <v>102.15</v>
      </c>
      <c r="E18" s="95">
        <f t="shared" si="2"/>
        <v>-1234.6348505036</v>
      </c>
      <c r="F18" s="97"/>
      <c r="H18" s="92"/>
      <c r="I18" s="98"/>
      <c r="J18" s="127"/>
      <c r="K18" s="100" t="s">
        <v>238</v>
      </c>
      <c r="L18" s="100">
        <f>SUM(L16:L17)</f>
        <v>-4483.395330843</v>
      </c>
      <c r="M18" s="97"/>
    </row>
    <row r="19" customHeight="1" spans="1:13">
      <c r="A19" s="3" t="s">
        <v>114</v>
      </c>
      <c r="B19" s="4">
        <v>210</v>
      </c>
      <c r="C19" s="46">
        <v>19355.1173862</v>
      </c>
      <c r="D19" s="46">
        <v>102.15</v>
      </c>
      <c r="E19" s="46">
        <f t="shared" si="2"/>
        <v>-2096.3826138</v>
      </c>
      <c r="F19" s="85"/>
      <c r="H19" s="3"/>
      <c r="I19" s="4"/>
      <c r="J19" s="46"/>
      <c r="K19" s="46"/>
      <c r="L19" s="4"/>
      <c r="M19" s="4"/>
    </row>
    <row r="20" customHeight="1" spans="1:13">
      <c r="A20" s="84" t="s">
        <v>149</v>
      </c>
      <c r="B20" s="93">
        <v>70</v>
      </c>
      <c r="C20" s="95">
        <v>8361.9194281</v>
      </c>
      <c r="D20" s="95">
        <v>138.28</v>
      </c>
      <c r="E20" s="95">
        <f t="shared" si="2"/>
        <v>-1317.6805719</v>
      </c>
      <c r="F20" s="97"/>
      <c r="H20" s="3"/>
      <c r="I20" s="4"/>
      <c r="J20" s="46"/>
      <c r="K20" s="46"/>
      <c r="L20" s="4"/>
      <c r="M20" s="4"/>
    </row>
    <row r="21" customHeight="1" spans="1:13">
      <c r="A21" s="3" t="s">
        <v>231</v>
      </c>
      <c r="B21" s="4">
        <v>15</v>
      </c>
      <c r="C21" s="46">
        <v>1943.765470695</v>
      </c>
      <c r="D21" s="46">
        <v>115.41</v>
      </c>
      <c r="E21" s="46">
        <f t="shared" si="2"/>
        <v>212.615470695</v>
      </c>
      <c r="F21" s="85"/>
      <c r="H21" s="3"/>
      <c r="I21" s="4"/>
      <c r="J21" s="46"/>
      <c r="K21" s="46"/>
      <c r="L21" s="4"/>
      <c r="M21" s="4"/>
    </row>
    <row r="22" customHeight="1" spans="1:13">
      <c r="A22" s="84" t="s">
        <v>21</v>
      </c>
      <c r="B22" s="93">
        <v>19</v>
      </c>
      <c r="C22" s="95">
        <v>2917.10773184</v>
      </c>
      <c r="D22" s="95">
        <v>166.73</v>
      </c>
      <c r="E22" s="95">
        <f t="shared" si="2"/>
        <v>-250.76226816</v>
      </c>
      <c r="F22" s="97"/>
      <c r="H22" s="3"/>
      <c r="I22" s="4"/>
      <c r="J22" s="46"/>
      <c r="K22" s="46"/>
      <c r="L22" s="4"/>
      <c r="M22" s="4"/>
    </row>
    <row r="23" customHeight="1" spans="1:13">
      <c r="A23" s="3" t="s">
        <v>21</v>
      </c>
      <c r="B23" s="4">
        <v>36</v>
      </c>
      <c r="C23" s="46">
        <v>5528.249813996</v>
      </c>
      <c r="D23" s="46">
        <v>166.73</v>
      </c>
      <c r="E23" s="46">
        <f t="shared" si="2"/>
        <v>-474.030186004</v>
      </c>
      <c r="F23" s="85"/>
      <c r="H23" s="3"/>
      <c r="I23" s="4"/>
      <c r="J23" s="46"/>
      <c r="K23" s="46"/>
      <c r="L23" s="4"/>
      <c r="M23" s="4"/>
    </row>
    <row r="24" customHeight="1" spans="1:13">
      <c r="A24" s="92"/>
      <c r="B24" s="98"/>
      <c r="C24" s="98"/>
      <c r="D24" s="99" t="s">
        <v>238</v>
      </c>
      <c r="E24" s="100">
        <f>SUM(E16:E23)</f>
        <v>-5317.5650196726</v>
      </c>
      <c r="F24" s="97"/>
      <c r="H24" s="3"/>
      <c r="I24" s="4"/>
      <c r="J24" s="46"/>
      <c r="K24" s="46"/>
      <c r="L24" s="4"/>
      <c r="M24" s="4"/>
    </row>
    <row r="25" customHeight="1" spans="8:13">
      <c r="H25" s="3"/>
      <c r="I25" s="4"/>
      <c r="J25" s="46"/>
      <c r="K25" s="46"/>
      <c r="L25" s="4"/>
      <c r="M25" s="4"/>
    </row>
    <row r="26" customHeight="1" spans="8:13">
      <c r="H26" s="3"/>
      <c r="I26" s="4"/>
      <c r="J26" s="46"/>
      <c r="K26" s="46"/>
      <c r="L26" s="4"/>
      <c r="M26" s="4"/>
    </row>
    <row r="27" customHeight="1" spans="1:8">
      <c r="A27" s="77" t="s">
        <v>242</v>
      </c>
      <c r="H27" s="77" t="s">
        <v>243</v>
      </c>
    </row>
    <row r="28" customHeight="1" spans="1:13">
      <c r="A28" s="78" t="s">
        <v>169</v>
      </c>
      <c r="B28" s="79" t="s">
        <v>215</v>
      </c>
      <c r="C28" s="78" t="s">
        <v>234</v>
      </c>
      <c r="D28" s="80" t="s">
        <v>235</v>
      </c>
      <c r="E28" s="80" t="s">
        <v>241</v>
      </c>
      <c r="F28" s="80" t="s">
        <v>237</v>
      </c>
      <c r="H28" s="81" t="s">
        <v>169</v>
      </c>
      <c r="I28" s="125" t="s">
        <v>215</v>
      </c>
      <c r="J28" s="78" t="s">
        <v>234</v>
      </c>
      <c r="K28" s="80" t="s">
        <v>235</v>
      </c>
      <c r="L28" s="80" t="s">
        <v>236</v>
      </c>
      <c r="M28" s="80" t="s">
        <v>237</v>
      </c>
    </row>
    <row r="29" customHeight="1" spans="1:13">
      <c r="A29" s="84" t="s">
        <v>24</v>
      </c>
      <c r="B29" s="93">
        <v>50</v>
      </c>
      <c r="C29" s="95">
        <v>5014.72096415</v>
      </c>
      <c r="D29" s="95">
        <v>100.32</v>
      </c>
      <c r="E29" s="95">
        <f t="shared" ref="E29:E33" si="4">C29-D29*B29</f>
        <v>-1.27903584999967</v>
      </c>
      <c r="F29" s="96">
        <f>E34+M16</f>
        <v>-18362.932799235</v>
      </c>
      <c r="H29" s="84" t="s">
        <v>129</v>
      </c>
      <c r="I29" s="93">
        <v>135</v>
      </c>
      <c r="J29" s="95">
        <v>13207.587648153</v>
      </c>
      <c r="K29" s="95">
        <v>93.21</v>
      </c>
      <c r="L29" s="95">
        <f t="shared" ref="L29:L31" si="5">J29-K29*I29</f>
        <v>624.237648153001</v>
      </c>
      <c r="M29" s="96">
        <f>L32+F29</f>
        <v>-10899.153151082</v>
      </c>
    </row>
    <row r="30" customHeight="1" spans="1:13">
      <c r="A30" s="3" t="s">
        <v>24</v>
      </c>
      <c r="B30" s="4">
        <v>50</v>
      </c>
      <c r="C30" s="46">
        <v>5010.72206375</v>
      </c>
      <c r="D30" s="46">
        <v>100.32</v>
      </c>
      <c r="E30" s="46">
        <f t="shared" si="4"/>
        <v>-5.27793624999958</v>
      </c>
      <c r="F30" s="85"/>
      <c r="H30" s="3" t="s">
        <v>39</v>
      </c>
      <c r="I30" s="4">
        <v>100</v>
      </c>
      <c r="J30" s="46">
        <v>16075.38</v>
      </c>
      <c r="K30" s="46">
        <v>121.47</v>
      </c>
      <c r="L30" s="46">
        <f t="shared" si="5"/>
        <v>3928.38</v>
      </c>
      <c r="M30" s="85"/>
    </row>
    <row r="31" customHeight="1" spans="1:13">
      <c r="A31" s="84" t="s">
        <v>133</v>
      </c>
      <c r="B31" s="93">
        <v>220</v>
      </c>
      <c r="C31" s="95">
        <v>24812.0862206186</v>
      </c>
      <c r="D31" s="95">
        <v>113.93</v>
      </c>
      <c r="E31" s="95">
        <f t="shared" si="4"/>
        <v>-252.513779381403</v>
      </c>
      <c r="F31" s="97"/>
      <c r="H31" s="84" t="s">
        <v>16</v>
      </c>
      <c r="I31" s="93">
        <v>70</v>
      </c>
      <c r="J31" s="95">
        <v>10405.362</v>
      </c>
      <c r="K31" s="95">
        <v>107.06</v>
      </c>
      <c r="L31" s="95">
        <f t="shared" si="5"/>
        <v>2911.162</v>
      </c>
      <c r="M31" s="97"/>
    </row>
    <row r="32" customHeight="1" spans="1:13">
      <c r="A32" s="3" t="s">
        <v>146</v>
      </c>
      <c r="B32" s="4">
        <v>19</v>
      </c>
      <c r="C32" s="46">
        <v>1888.890562705</v>
      </c>
      <c r="D32" s="46">
        <v>97.45</v>
      </c>
      <c r="E32" s="46">
        <f t="shared" si="4"/>
        <v>37.3405627050001</v>
      </c>
      <c r="F32" s="85"/>
      <c r="H32" s="101"/>
      <c r="I32" s="102"/>
      <c r="J32" s="128"/>
      <c r="K32" s="104" t="str">
        <f>IF(L32&gt;0,"LUCRO","PREJUÍZO")</f>
        <v>LUCRO</v>
      </c>
      <c r="L32" s="104">
        <f>SUM(L29:L31)</f>
        <v>7463.779648153</v>
      </c>
      <c r="M32" s="85"/>
    </row>
    <row r="33" customHeight="1" spans="1:6">
      <c r="A33" s="84" t="s">
        <v>146</v>
      </c>
      <c r="B33" s="93">
        <v>56</v>
      </c>
      <c r="C33" s="95">
        <v>5591.302407328</v>
      </c>
      <c r="D33" s="95">
        <v>97.45</v>
      </c>
      <c r="E33" s="95">
        <f t="shared" si="4"/>
        <v>134.102407328</v>
      </c>
      <c r="F33" s="97"/>
    </row>
    <row r="34" customHeight="1" spans="1:13">
      <c r="A34" s="101"/>
      <c r="B34" s="102"/>
      <c r="C34" s="102"/>
      <c r="D34" s="103" t="s">
        <v>238</v>
      </c>
      <c r="E34" s="104">
        <f>SUM(E29:E33)</f>
        <v>-87.6277814484015</v>
      </c>
      <c r="F34" s="85"/>
      <c r="H34" s="3"/>
      <c r="I34" s="4"/>
      <c r="J34" s="46"/>
      <c r="K34" s="46"/>
      <c r="L34" s="4"/>
      <c r="M34" s="4"/>
    </row>
    <row r="35" customHeight="1" spans="8:13">
      <c r="H35" s="3"/>
      <c r="I35" s="4"/>
      <c r="J35" s="46"/>
      <c r="K35" s="46"/>
      <c r="L35" s="4"/>
      <c r="M35" s="4"/>
    </row>
    <row r="36" customHeight="1" spans="8:13">
      <c r="H36" s="3"/>
      <c r="I36" s="4"/>
      <c r="J36" s="46"/>
      <c r="K36" s="46"/>
      <c r="L36" s="4"/>
      <c r="M36" s="4"/>
    </row>
    <row r="37" customHeight="1" spans="1:13">
      <c r="A37" s="105" t="s">
        <v>244</v>
      </c>
      <c r="B37" s="106"/>
      <c r="C37" s="106"/>
      <c r="D37" s="106"/>
      <c r="E37" s="106"/>
      <c r="F37" s="106"/>
      <c r="H37" s="105" t="s">
        <v>245</v>
      </c>
      <c r="I37" s="106"/>
      <c r="J37" s="106"/>
      <c r="K37" s="106"/>
      <c r="L37" s="106"/>
      <c r="M37" s="106"/>
    </row>
    <row r="38" customHeight="1" spans="1:13">
      <c r="A38" s="107" t="s">
        <v>169</v>
      </c>
      <c r="B38" s="108" t="s">
        <v>215</v>
      </c>
      <c r="C38" s="107" t="s">
        <v>234</v>
      </c>
      <c r="D38" s="107" t="s">
        <v>235</v>
      </c>
      <c r="E38" s="107" t="s">
        <v>236</v>
      </c>
      <c r="F38" s="109" t="s">
        <v>237</v>
      </c>
      <c r="H38" s="107" t="s">
        <v>169</v>
      </c>
      <c r="I38" s="108" t="s">
        <v>215</v>
      </c>
      <c r="J38" s="107" t="s">
        <v>234</v>
      </c>
      <c r="K38" s="107" t="s">
        <v>235</v>
      </c>
      <c r="L38" s="107" t="s">
        <v>236</v>
      </c>
      <c r="M38" s="109" t="s">
        <v>237</v>
      </c>
    </row>
    <row r="39" customHeight="1" spans="1:13">
      <c r="A39" s="110" t="s">
        <v>16</v>
      </c>
      <c r="B39" s="111">
        <v>100</v>
      </c>
      <c r="C39" s="112">
        <v>13496.29</v>
      </c>
      <c r="D39" s="112">
        <v>107.06</v>
      </c>
      <c r="E39" s="113">
        <f t="shared" ref="E39:E40" si="6">C39-B39*D39</f>
        <v>2790.29</v>
      </c>
      <c r="F39" s="96">
        <f>E42+M29</f>
        <v>-3310.03315108201</v>
      </c>
      <c r="H39" s="110" t="s">
        <v>16</v>
      </c>
      <c r="I39" s="111">
        <v>50</v>
      </c>
      <c r="J39" s="112">
        <v>6703.03</v>
      </c>
      <c r="K39" s="112">
        <v>106.99</v>
      </c>
      <c r="L39" s="113">
        <f t="shared" ref="L39:L40" si="7">J39-I39*K39</f>
        <v>1353.53</v>
      </c>
      <c r="M39" s="96">
        <f>L42+F39</f>
        <v>-1380.45315108201</v>
      </c>
    </row>
    <row r="40" customHeight="1" spans="1:13">
      <c r="A40" s="114" t="s">
        <v>16</v>
      </c>
      <c r="B40" s="115">
        <v>200</v>
      </c>
      <c r="C40" s="116">
        <v>26210.83</v>
      </c>
      <c r="D40" s="116">
        <v>107.06</v>
      </c>
      <c r="E40" s="113">
        <f t="shared" si="6"/>
        <v>4798.83</v>
      </c>
      <c r="F40" s="117"/>
      <c r="H40" s="114" t="s">
        <v>39</v>
      </c>
      <c r="I40" s="115">
        <v>30</v>
      </c>
      <c r="J40" s="116">
        <v>4070.71</v>
      </c>
      <c r="K40" s="116">
        <v>121.45</v>
      </c>
      <c r="L40" s="113">
        <f t="shared" si="7"/>
        <v>427.21</v>
      </c>
      <c r="M40" s="117"/>
    </row>
    <row r="41" customHeight="1" spans="1:13">
      <c r="A41" s="118"/>
      <c r="B41" s="119"/>
      <c r="C41" s="120"/>
      <c r="D41" s="120"/>
      <c r="E41" s="121"/>
      <c r="F41" s="117"/>
      <c r="H41" s="118" t="s">
        <v>246</v>
      </c>
      <c r="I41" s="119"/>
      <c r="J41" s="120">
        <v>148.84</v>
      </c>
      <c r="K41" s="120"/>
      <c r="L41" s="121">
        <v>148.84</v>
      </c>
      <c r="M41" s="117"/>
    </row>
    <row r="42" customHeight="1" spans="1:13">
      <c r="A42" s="114"/>
      <c r="B42" s="114"/>
      <c r="C42" s="114"/>
      <c r="D42" s="122" t="str">
        <f>IF(E42&gt;0,"LUCRO","PREJUÍZO")</f>
        <v>LUCRO</v>
      </c>
      <c r="E42" s="123">
        <f>SUM(E39:E41)</f>
        <v>7589.12</v>
      </c>
      <c r="F42" s="117"/>
      <c r="H42" s="114"/>
      <c r="I42" s="114"/>
      <c r="J42" s="114"/>
      <c r="K42" s="122" t="str">
        <f>IF(L42&gt;0,"LUCRO","PREJUÍZO")</f>
        <v>LUCRO</v>
      </c>
      <c r="L42" s="123">
        <f>SUM(L39:L41)</f>
        <v>1929.58</v>
      </c>
      <c r="M42" s="117"/>
    </row>
    <row r="43" customHeight="1" spans="1:6">
      <c r="A43" s="45"/>
      <c r="B43" s="45"/>
      <c r="C43" s="45"/>
      <c r="D43" s="45"/>
      <c r="E43" s="45"/>
      <c r="F43" s="45"/>
    </row>
    <row r="44" customHeight="1" spans="1:13">
      <c r="A44" s="105" t="s">
        <v>247</v>
      </c>
      <c r="B44" s="106"/>
      <c r="C44" s="106"/>
      <c r="D44" s="106"/>
      <c r="E44" s="106"/>
      <c r="F44" s="106"/>
      <c r="H44" s="105" t="s">
        <v>248</v>
      </c>
      <c r="I44" s="106"/>
      <c r="J44" s="106"/>
      <c r="K44" s="106"/>
      <c r="L44" s="106"/>
      <c r="M44" s="106"/>
    </row>
    <row r="45" customHeight="1" spans="1:13">
      <c r="A45" s="107" t="s">
        <v>169</v>
      </c>
      <c r="B45" s="108" t="s">
        <v>215</v>
      </c>
      <c r="C45" s="107" t="s">
        <v>234</v>
      </c>
      <c r="D45" s="107" t="s">
        <v>235</v>
      </c>
      <c r="E45" s="107" t="s">
        <v>236</v>
      </c>
      <c r="F45" s="109" t="s">
        <v>237</v>
      </c>
      <c r="H45" s="107" t="s">
        <v>169</v>
      </c>
      <c r="I45" s="108" t="s">
        <v>215</v>
      </c>
      <c r="J45" s="107" t="s">
        <v>234</v>
      </c>
      <c r="K45" s="107" t="s">
        <v>235</v>
      </c>
      <c r="L45" s="107" t="s">
        <v>236</v>
      </c>
      <c r="M45" s="109" t="s">
        <v>237</v>
      </c>
    </row>
    <row r="46" customHeight="1" spans="1:13">
      <c r="A46" s="114" t="s">
        <v>39</v>
      </c>
      <c r="B46" s="115">
        <v>100</v>
      </c>
      <c r="C46" s="116">
        <v>5410</v>
      </c>
      <c r="D46" s="116">
        <v>120.72</v>
      </c>
      <c r="E46" s="113">
        <f>C46-B46*D46</f>
        <v>-6662</v>
      </c>
      <c r="F46" s="124">
        <f>E47+M39</f>
        <v>-8042.45315108201</v>
      </c>
      <c r="H46" s="114" t="s">
        <v>39</v>
      </c>
      <c r="I46" s="115">
        <v>100</v>
      </c>
      <c r="J46" s="116">
        <v>3158</v>
      </c>
      <c r="K46" s="116">
        <v>118.53</v>
      </c>
      <c r="L46" s="113">
        <f>J46-I46*K46</f>
        <v>-8695</v>
      </c>
      <c r="M46" s="124">
        <f>F46+L46</f>
        <v>-16737.453151082</v>
      </c>
    </row>
    <row r="47" customHeight="1" spans="1:13">
      <c r="A47" s="114"/>
      <c r="B47" s="114"/>
      <c r="C47" s="114"/>
      <c r="D47" s="122" t="str">
        <f>IF(E47&gt;0,"LUCRO","PREJUÍZO")</f>
        <v>PREJUÍZO</v>
      </c>
      <c r="E47" s="123">
        <f>SUM(E46)</f>
        <v>-6662</v>
      </c>
      <c r="F47" s="117"/>
      <c r="H47" s="114"/>
      <c r="I47" s="114"/>
      <c r="J47" s="114"/>
      <c r="K47" s="122" t="str">
        <f>IF(L47&gt;0,"LUCRO","PREJUÍZO")</f>
        <v>PREJUÍZO</v>
      </c>
      <c r="L47" s="123">
        <f>SUM(L46)</f>
        <v>-8695</v>
      </c>
      <c r="M47" s="117"/>
    </row>
    <row r="48" customHeight="1" spans="1:6">
      <c r="A48" s="3"/>
      <c r="B48" s="4"/>
      <c r="C48" s="4"/>
      <c r="D48" s="36"/>
      <c r="E48" s="36"/>
      <c r="F48" s="4"/>
    </row>
    <row r="49" customHeight="1" spans="1:6">
      <c r="A49" s="3"/>
      <c r="B49" s="4"/>
      <c r="C49" s="4"/>
      <c r="D49" s="36"/>
      <c r="E49" s="36"/>
      <c r="F49" s="4"/>
    </row>
  </sheetData>
  <mergeCells count="20">
    <mergeCell ref="A2:F2"/>
    <mergeCell ref="H2:M2"/>
    <mergeCell ref="A14:F14"/>
    <mergeCell ref="H14:M14"/>
    <mergeCell ref="A27:F27"/>
    <mergeCell ref="H27:M27"/>
    <mergeCell ref="A37:F37"/>
    <mergeCell ref="H37:M37"/>
    <mergeCell ref="A44:F44"/>
    <mergeCell ref="H44:M44"/>
    <mergeCell ref="F4:F6"/>
    <mergeCell ref="F16:F24"/>
    <mergeCell ref="F29:F34"/>
    <mergeCell ref="F39:F42"/>
    <mergeCell ref="F46:F47"/>
    <mergeCell ref="M4:M10"/>
    <mergeCell ref="M16:M18"/>
    <mergeCell ref="M29:M32"/>
    <mergeCell ref="M39:M42"/>
    <mergeCell ref="M46:M47"/>
  </mergeCells>
  <conditionalFormatting sqref="K32">
    <cfRule type="cellIs" dxfId="19" priority="1" operator="greaterThan">
      <formula>0</formula>
    </cfRule>
  </conditionalFormatting>
  <conditionalFormatting sqref="F4:F6;M4;F16;M16;F29;M29;F39;M39">
    <cfRule type="cellIs" dxfId="20" priority="2" operator="greaterThan">
      <formula>0</formula>
    </cfRule>
    <cfRule type="cellIs" dxfId="21" priority="3" operator="less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showGridLines="0" workbookViewId="0">
      <selection activeCell="A1" sqref="A1"/>
    </sheetView>
  </sheetViews>
  <sheetFormatPr defaultColWidth="11.2166666666667" defaultRowHeight="15.75" customHeight="1"/>
  <cols>
    <col min="10" max="10" width="11.8916666666667" customWidth="1"/>
    <col min="13" max="13" width="12" customWidth="1"/>
    <col min="19" max="19" width="18.5583333333333" customWidth="1"/>
    <col min="20" max="20" width="17.7833333333333" customWidth="1"/>
  </cols>
  <sheetData>
    <row r="1" ht="25.5" spans="1:17">
      <c r="A1" s="23" t="str">
        <f>IFERROR(__xludf.DUMMYFUNCTION("QUERY(fOperacoes!$A$1:$K1000,""SELECT A,C,J,D"",1)"),"Ticker")</f>
        <v>Ticker</v>
      </c>
      <c r="B1" s="24" t="str">
        <f>IFERROR(__xludf.DUMMYFUNCTION("""COMPUTED_VALUE"""),"Nr Cotas")</f>
        <v>Nr Cotas</v>
      </c>
      <c r="C1" s="24" t="str">
        <f>IFERROR(__xludf.DUMMYFUNCTION("""COMPUTED_VALUE"""),"Preco Final")</f>
        <v>Preco Final</v>
      </c>
      <c r="D1" s="24" t="str">
        <f>IFERROR(__xludf.DUMMYFUNCTION("""COMPUTED_VALUE"""),"Data da Operacao")</f>
        <v>Data da Operacao</v>
      </c>
      <c r="F1" s="25" t="s">
        <v>169</v>
      </c>
      <c r="G1" s="25" t="s">
        <v>235</v>
      </c>
      <c r="I1" s="23" t="str">
        <f>IFERROR(__xludf.DUMMYFUNCTION("QUERY(fOperacoes!$A$321:$K1000,""SELECT A, SUM(J) GROUP BY A ORDER BY SUM(J) DESC LABEL A 'TICKER', SUM(J) 'PATRIMÔNIO'"",-1)"),"TICKER")</f>
        <v>TICKER</v>
      </c>
      <c r="J1" s="30" t="str">
        <f>IFERROR(__xludf.DUMMYFUNCTION("""COMPUTED_VALUE"""),"PATRIMÔNIO")</f>
        <v>PATRIMÔNIO</v>
      </c>
      <c r="L1" s="3"/>
      <c r="N1" s="23" t="str">
        <f>IFERROR(__xludf.DUMMYFUNCTION("QUERY(fOperacoes!$A$1:$K1000,CONCATENATE(""SELECT A,C,D,J WHERE MONTH(D)= "",L3-1,"" AND A='"",L2,""'""),-1)"),"Ticker")</f>
        <v>Ticker</v>
      </c>
      <c r="O1" s="23" t="str">
        <f>IFERROR(__xludf.DUMMYFUNCTION("""COMPUTED_VALUE"""),"Nr Cotas")</f>
        <v>Nr Cotas</v>
      </c>
      <c r="P1" s="23" t="str">
        <f>IFERROR(__xludf.DUMMYFUNCTION("""COMPUTED_VALUE"""),"Data da Operacao")</f>
        <v>Data da Operacao</v>
      </c>
      <c r="Q1" s="24" t="str">
        <f>IFERROR(__xludf.DUMMYFUNCTION("""COMPUTED_VALUE"""),"Preco Final")</f>
        <v>Preco Final</v>
      </c>
    </row>
    <row r="2" ht="12.75" spans="1:26">
      <c r="A2" s="12" t="str">
        <f>IFERROR(__xludf.DUMMYFUNCTION("""COMPUTED_VALUE"""),"VGHF11")</f>
        <v>VGHF11</v>
      </c>
      <c r="B2" s="12">
        <f>IFERROR(__xludf.DUMMYFUNCTION("""COMPUTED_VALUE"""),100)</f>
        <v>100</v>
      </c>
      <c r="C2" s="26">
        <f>IFERROR(__xludf.DUMMYFUNCTION("""COMPUTED_VALUE"""),688.209999999999)</f>
        <v>688.209999999999</v>
      </c>
      <c r="D2" s="27">
        <f>IFERROR(__xludf.DUMMYFUNCTION("""COMPUTED_VALUE"""),45643)</f>
        <v>45643</v>
      </c>
      <c r="F2" s="12" t="s">
        <v>153</v>
      </c>
      <c r="G2" s="15">
        <f>SUMPRODUCT(($A$2:$A1000=F2)*($C$2:$C1000&gt;0)*$C$2:$C1000)/SUMPRODUCT(($A$2:$A1000=F2)*($B$2:$B1000&gt;0)*$B$2:$B1000)</f>
        <v>163.627775022689</v>
      </c>
      <c r="I2" s="12" t="str">
        <f>IFERROR(__xludf.DUMMYFUNCTION("""COMPUTED_VALUE"""),"IRDM11")</f>
        <v>IRDM11</v>
      </c>
      <c r="J2" s="31">
        <f>IFERROR(__xludf.DUMMYFUNCTION("""COMPUTED_VALUE"""),58180.6332772514)</f>
        <v>58180.6332772514</v>
      </c>
      <c r="L2" s="32" t="s">
        <v>15</v>
      </c>
      <c r="N2" s="12" t="str">
        <f>IFERROR(__xludf.DUMMYFUNCTION("""COMPUTED_VALUE"""),"HGLG11")</f>
        <v>HGLG11</v>
      </c>
      <c r="O2" s="12">
        <f>IFERROR(__xludf.DUMMYFUNCTION("""COMPUTED_VALUE"""),25)</f>
        <v>25</v>
      </c>
      <c r="P2" s="27">
        <f>IFERROR(__xludf.DUMMYFUNCTION("""COMPUTED_VALUE"""),44497)</f>
        <v>44497</v>
      </c>
      <c r="Q2" s="26">
        <f>IFERROR(__xludf.DUMMYFUNCTION("""COMPUTED_VALUE"""),4113.74)</f>
        <v>4113.74</v>
      </c>
      <c r="S2" s="54" t="s">
        <v>249</v>
      </c>
      <c r="V2" s="55" t="s">
        <v>250</v>
      </c>
      <c r="W2" s="55" t="s">
        <v>251</v>
      </c>
      <c r="X2" s="55" t="s">
        <v>237</v>
      </c>
      <c r="Y2" s="55" t="s">
        <v>252</v>
      </c>
      <c r="Z2" s="55" t="s">
        <v>8</v>
      </c>
    </row>
    <row r="3" ht="12.75" spans="1:26">
      <c r="A3" s="12" t="str">
        <f>IFERROR(__xludf.DUMMYFUNCTION("""COMPUTED_VALUE"""),"RZTR11")</f>
        <v>RZTR11</v>
      </c>
      <c r="B3" s="12">
        <f>IFERROR(__xludf.DUMMYFUNCTION("""COMPUTED_VALUE"""),10)</f>
        <v>10</v>
      </c>
      <c r="C3" s="26">
        <f>IFERROR(__xludf.DUMMYFUNCTION("""COMPUTED_VALUE"""),772.74)</f>
        <v>772.74</v>
      </c>
      <c r="D3" s="27">
        <f>IFERROR(__xludf.DUMMYFUNCTION("""COMPUTED_VALUE"""),45643)</f>
        <v>45643</v>
      </c>
      <c r="F3" s="12" t="s">
        <v>159</v>
      </c>
      <c r="G3" s="15">
        <f>SUMPRODUCT(($A$2:$A1001=F3)*($C$2:$C1001&gt;0)*$C$2:$C1001)/SUMPRODUCT(($A$2:$A1001=F3)*($B$2:$B1001&gt;0)*$B$2:$B1001)</f>
        <v>126.765699175714</v>
      </c>
      <c r="I3" s="12" t="str">
        <f>IFERROR(__xludf.DUMMYFUNCTION("""COMPUTED_VALUE"""),"HGRE11")</f>
        <v>HGRE11</v>
      </c>
      <c r="J3" s="31">
        <f>IFERROR(__xludf.DUMMYFUNCTION("""COMPUTED_VALUE"""),34904.508123654)</f>
        <v>34904.508123654</v>
      </c>
      <c r="L3" s="32">
        <v>10</v>
      </c>
      <c r="N3" s="12" t="str">
        <f>IFERROR(__xludf.DUMMYFUNCTION("""COMPUTED_VALUE"""),"HGLG11")</f>
        <v>HGLG11</v>
      </c>
      <c r="O3" s="12">
        <f>IFERROR(__xludf.DUMMYFUNCTION("""COMPUTED_VALUE"""),30)</f>
        <v>30</v>
      </c>
      <c r="P3" s="27">
        <f>IFERROR(__xludf.DUMMYFUNCTION("""COMPUTED_VALUE"""),44497)</f>
        <v>44497</v>
      </c>
      <c r="Q3" s="26">
        <f>IFERROR(__xludf.DUMMYFUNCTION("""COMPUTED_VALUE"""),4951.48)</f>
        <v>4951.48</v>
      </c>
      <c r="S3" s="3" t="s">
        <v>253</v>
      </c>
      <c r="T3" s="56">
        <v>783186927.19</v>
      </c>
      <c r="V3" s="11" t="s">
        <v>254</v>
      </c>
      <c r="W3" s="57">
        <v>0.0809</v>
      </c>
      <c r="X3" s="57">
        <v>0.231</v>
      </c>
      <c r="Y3" s="29">
        <f t="shared" ref="Y3:Y7" si="0">SUM(W3:X3)</f>
        <v>0.3119</v>
      </c>
      <c r="Z3" s="57">
        <v>0.26</v>
      </c>
    </row>
    <row r="4" ht="12.75" spans="1:26">
      <c r="A4" s="12" t="str">
        <f>IFERROR(__xludf.DUMMYFUNCTION("""COMPUTED_VALUE"""),"CPTI11")</f>
        <v>CPTI11</v>
      </c>
      <c r="B4" s="12">
        <f>IFERROR(__xludf.DUMMYFUNCTION("""COMPUTED_VALUE"""),10)</f>
        <v>10</v>
      </c>
      <c r="C4" s="26">
        <f>IFERROR(__xludf.DUMMYFUNCTION("""COMPUTED_VALUE"""),793.75)</f>
        <v>793.75</v>
      </c>
      <c r="D4" s="27">
        <f>IFERROR(__xludf.DUMMYFUNCTION("""COMPUTED_VALUE"""),45643)</f>
        <v>45643</v>
      </c>
      <c r="F4" s="12" t="s">
        <v>149</v>
      </c>
      <c r="G4" s="15">
        <f>SUMPRODUCT(($A$2:$A1002=F4)*($C$2:$C1002&gt;0)*$C$2:$C1002)/SUMPRODUCT(($A$2:$A1002=F4)*($B$2:$B1002&gt;0)*$B$2:$B1002)</f>
        <v>138.278780607072</v>
      </c>
      <c r="I4" s="12" t="str">
        <f>IFERROR(__xludf.DUMMYFUNCTION("""COMPUTED_VALUE"""),"RBVA11")</f>
        <v>RBVA11</v>
      </c>
      <c r="J4" s="31">
        <f>IFERROR(__xludf.DUMMYFUNCTION("""COMPUTED_VALUE"""),33674.82987645)</f>
        <v>33674.82987645</v>
      </c>
      <c r="L4" s="33"/>
      <c r="N4" s="12"/>
      <c r="O4" s="12"/>
      <c r="S4" s="58" t="s">
        <v>255</v>
      </c>
      <c r="T4" s="59">
        <v>350000050.66</v>
      </c>
      <c r="V4" s="11" t="s">
        <v>256</v>
      </c>
      <c r="W4" s="57">
        <v>0.0888</v>
      </c>
      <c r="X4" s="57">
        <v>0.0437</v>
      </c>
      <c r="Y4" s="29">
        <f t="shared" si="0"/>
        <v>0.1325</v>
      </c>
      <c r="Z4" s="57">
        <v>0.37</v>
      </c>
    </row>
    <row r="5" ht="12.75" spans="1:26">
      <c r="A5" s="12" t="str">
        <f>IFERROR(__xludf.DUMMYFUNCTION("""COMPUTED_VALUE"""),"RZAT11")</f>
        <v>RZAT11</v>
      </c>
      <c r="B5" s="12">
        <f>IFERROR(__xludf.DUMMYFUNCTION("""COMPUTED_VALUE"""),10)</f>
        <v>10</v>
      </c>
      <c r="C5" s="26">
        <f>IFERROR(__xludf.DUMMYFUNCTION("""COMPUTED_VALUE"""),809.25)</f>
        <v>809.25</v>
      </c>
      <c r="D5" s="27">
        <f>IFERROR(__xludf.DUMMYFUNCTION("""COMPUTED_VALUE"""),45638)</f>
        <v>45638</v>
      </c>
      <c r="F5" s="12" t="s">
        <v>119</v>
      </c>
      <c r="G5" s="15">
        <f>SUMPRODUCT(($A$2:$A1003=F5)*($C$2:$C1003&gt;0)*$C$2:$C1003)/SUMPRODUCT(($A$2:$A1003=F5)*($B$2:$B1003&gt;0)*$B$2:$B1003)</f>
        <v>113.295092976335</v>
      </c>
      <c r="I5" s="12" t="str">
        <f>IFERROR(__xludf.DUMMYFUNCTION("""COMPUTED_VALUE"""),"SAAG11")</f>
        <v>SAAG11</v>
      </c>
      <c r="J5" s="31">
        <f>IFERROR(__xludf.DUMMYFUNCTION("""COMPUTED_VALUE"""),32959.0817856856)</f>
        <v>32959.0817856856</v>
      </c>
      <c r="L5" s="200" t="s">
        <v>257</v>
      </c>
      <c r="N5" s="12"/>
      <c r="O5" s="12"/>
      <c r="S5" s="3" t="s">
        <v>258</v>
      </c>
      <c r="T5" s="60">
        <f>T4/T3</f>
        <v>0.446892100096419</v>
      </c>
      <c r="V5" s="11" t="s">
        <v>259</v>
      </c>
      <c r="W5" s="57">
        <v>0.0475</v>
      </c>
      <c r="X5" s="57">
        <v>0.0276</v>
      </c>
      <c r="Y5" s="29">
        <f t="shared" si="0"/>
        <v>0.0751</v>
      </c>
      <c r="Z5" s="57">
        <v>0.28</v>
      </c>
    </row>
    <row r="6" ht="12.75" spans="1:26">
      <c r="A6" s="12" t="str">
        <f>IFERROR(__xludf.DUMMYFUNCTION("""COMPUTED_VALUE"""),"RECR11")</f>
        <v>RECR11</v>
      </c>
      <c r="B6" s="12">
        <f>IFERROR(__xludf.DUMMYFUNCTION("""COMPUTED_VALUE"""),10)</f>
        <v>10</v>
      </c>
      <c r="C6" s="26">
        <f>IFERROR(__xludf.DUMMYFUNCTION("""COMPUTED_VALUE"""),685.209999999999)</f>
        <v>685.209999999999</v>
      </c>
      <c r="D6" s="27">
        <f>IFERROR(__xludf.DUMMYFUNCTION("""COMPUTED_VALUE"""),45636)</f>
        <v>45636</v>
      </c>
      <c r="F6" s="12" t="s">
        <v>114</v>
      </c>
      <c r="G6" s="15">
        <f>SUMPRODUCT(($A$2:$A1004=F6)*($C$2:$C1004&gt;0)*$C$2:$C1004)/SUMPRODUCT(($A$2:$A1004=F6)*($B$2:$B1004&gt;0)*$B$2:$B1004)</f>
        <v>102.153772133983</v>
      </c>
      <c r="I6" s="12" t="str">
        <f>IFERROR(__xludf.DUMMYFUNCTION("""COMPUTED_VALUE"""),"VINO11")</f>
        <v>VINO11</v>
      </c>
      <c r="J6" s="31">
        <f>IFERROR(__xludf.DUMMYFUNCTION("""COMPUTED_VALUE"""),28734.8014751999)</f>
        <v>28734.8014751999</v>
      </c>
      <c r="N6" s="12"/>
      <c r="O6" s="12"/>
      <c r="S6" s="58" t="s">
        <v>260</v>
      </c>
      <c r="T6" s="59">
        <v>131.32</v>
      </c>
      <c r="V6" s="11" t="s">
        <v>261</v>
      </c>
      <c r="W6" s="57">
        <v>0.1164</v>
      </c>
      <c r="X6" s="57">
        <v>0</v>
      </c>
      <c r="Y6" s="29">
        <f t="shared" si="0"/>
        <v>0.1164</v>
      </c>
      <c r="Z6" s="57">
        <v>0.01</v>
      </c>
    </row>
    <row r="7" ht="12.75" spans="1:26">
      <c r="A7" s="12" t="str">
        <f>IFERROR(__xludf.DUMMYFUNCTION("""COMPUTED_VALUE"""),"RZTR11")</f>
        <v>RZTR11</v>
      </c>
      <c r="B7" s="12">
        <f>IFERROR(__xludf.DUMMYFUNCTION("""COMPUTED_VALUE"""),10)</f>
        <v>10</v>
      </c>
      <c r="C7" s="26">
        <f>IFERROR(__xludf.DUMMYFUNCTION("""COMPUTED_VALUE"""),841.26)</f>
        <v>841.26</v>
      </c>
      <c r="D7" s="27">
        <f>IFERROR(__xludf.DUMMYFUNCTION("""COMPUTED_VALUE"""),45636)</f>
        <v>45636</v>
      </c>
      <c r="F7" s="12" t="s">
        <v>138</v>
      </c>
      <c r="G7" s="15">
        <f>SUMPRODUCT(($A$2:$A1005=F7)*($C$2:$C1005&gt;0)*$C$2:$C1005)/SUMPRODUCT(($A$2:$A1005=F7)*($B$2:$B1005&gt;0)*$B$2:$B1005)</f>
        <v>110.197561923015</v>
      </c>
      <c r="I7" s="12" t="str">
        <f>IFERROR(__xludf.DUMMYFUNCTION("""COMPUTED_VALUE"""),"TGAR11")</f>
        <v>TGAR11</v>
      </c>
      <c r="J7" s="31">
        <f>IFERROR(__xludf.DUMMYFUNCTION("""COMPUTED_VALUE"""),26055.735324538)</f>
        <v>26055.735324538</v>
      </c>
      <c r="N7" s="12"/>
      <c r="O7" s="12"/>
      <c r="S7" s="3" t="s">
        <v>262</v>
      </c>
      <c r="T7" s="6">
        <v>142.86</v>
      </c>
      <c r="V7" s="11" t="s">
        <v>263</v>
      </c>
      <c r="W7" s="57">
        <v>0.0815</v>
      </c>
      <c r="X7" s="29"/>
      <c r="Y7" s="29">
        <f t="shared" si="0"/>
        <v>0.0815</v>
      </c>
      <c r="Z7" s="57">
        <v>0.08</v>
      </c>
    </row>
    <row r="8" ht="12.75" spans="1:26">
      <c r="A8" s="12" t="str">
        <f>IFERROR(__xludf.DUMMYFUNCTION("""COMPUTED_VALUE"""),"VGHF11")</f>
        <v>VGHF11</v>
      </c>
      <c r="B8" s="12">
        <f>IFERROR(__xludf.DUMMYFUNCTION("""COMPUTED_VALUE"""),100)</f>
        <v>100</v>
      </c>
      <c r="C8" s="26">
        <f>IFERROR(__xludf.DUMMYFUNCTION("""COMPUTED_VALUE"""),725.234999999999)</f>
        <v>725.234999999999</v>
      </c>
      <c r="D8" s="27">
        <f>IFERROR(__xludf.DUMMYFUNCTION("""COMPUTED_VALUE"""),45631)</f>
        <v>45631</v>
      </c>
      <c r="F8" s="12"/>
      <c r="G8" s="15"/>
      <c r="I8" s="12" t="str">
        <f>IFERROR(__xludf.DUMMYFUNCTION("""COMPUTED_VALUE"""),"MCCI11")</f>
        <v>MCCI11</v>
      </c>
      <c r="J8" s="31">
        <f>IFERROR(__xludf.DUMMYFUNCTION("""COMPUTED_VALUE"""),25505.569331475)</f>
        <v>25505.569331475</v>
      </c>
      <c r="N8" s="12"/>
      <c r="O8" s="12"/>
      <c r="S8" s="58" t="s">
        <v>264</v>
      </c>
      <c r="T8" s="59">
        <v>1.5</v>
      </c>
      <c r="V8" s="11"/>
      <c r="W8" s="11"/>
      <c r="X8" s="20"/>
      <c r="Y8" s="20"/>
      <c r="Z8" s="57">
        <f>SUM(Z3:Z7)</f>
        <v>1</v>
      </c>
    </row>
    <row r="9" ht="12.75" spans="1:26">
      <c r="A9" s="12" t="str">
        <f>IFERROR(__xludf.DUMMYFUNCTION("""COMPUTED_VALUE"""),"RZTR11")</f>
        <v>RZTR11</v>
      </c>
      <c r="B9" s="12">
        <f>IFERROR(__xludf.DUMMYFUNCTION("""COMPUTED_VALUE"""),10)</f>
        <v>10</v>
      </c>
      <c r="C9" s="26">
        <f>IFERROR(__xludf.DUMMYFUNCTION("""COMPUTED_VALUE"""),852.364999999999)</f>
        <v>852.364999999999</v>
      </c>
      <c r="D9" s="27">
        <f>IFERROR(__xludf.DUMMYFUNCTION("""COMPUTED_VALUE"""),45631)</f>
        <v>45631</v>
      </c>
      <c r="F9" s="12" t="s">
        <v>124</v>
      </c>
      <c r="G9" s="15">
        <f>SUMPRODUCT(($A$2:$A1000=F9)*($C$2:$C1000&gt;0)*$C$2:$C1000)/SUMPRODUCT(($A$2:$A1000=F9)*($B$2:$B1000&gt;0)*$B$2:$B1000)</f>
        <v>97.9224684049143</v>
      </c>
      <c r="I9" s="12" t="str">
        <f>IFERROR(__xludf.DUMMYFUNCTION("""COMPUTED_VALUE"""),"VTLT11")</f>
        <v>VTLT11</v>
      </c>
      <c r="J9" s="31">
        <f>IFERROR(__xludf.DUMMYFUNCTION("""COMPUTED_VALUE"""),25065.27833424)</f>
        <v>25065.27833424</v>
      </c>
      <c r="N9" s="12"/>
      <c r="O9" s="12"/>
      <c r="S9" s="3" t="s">
        <v>265</v>
      </c>
      <c r="T9" s="61">
        <v>0.1508</v>
      </c>
      <c r="V9" s="62" t="s">
        <v>266</v>
      </c>
      <c r="W9" s="11"/>
      <c r="X9" s="63">
        <f>SUMPRODUCT(Y3:Y7,Z3:Z7)</f>
        <v>0.158831</v>
      </c>
      <c r="Y9" s="20"/>
      <c r="Z9" s="11"/>
    </row>
    <row r="10" ht="12.75" spans="1:20">
      <c r="A10" s="12" t="str">
        <f>IFERROR(__xludf.DUMMYFUNCTION("""COMPUTED_VALUE"""),"MFII11")</f>
        <v>MFII11</v>
      </c>
      <c r="B10" s="12">
        <f>IFERROR(__xludf.DUMMYFUNCTION("""COMPUTED_VALUE"""),10)</f>
        <v>10</v>
      </c>
      <c r="C10" s="26">
        <f>IFERROR(__xludf.DUMMYFUNCTION("""COMPUTED_VALUE"""),875.375)</f>
        <v>875.375</v>
      </c>
      <c r="D10" s="27">
        <f>IFERROR(__xludf.DUMMYFUNCTION("""COMPUTED_VALUE"""),45631)</f>
        <v>45631</v>
      </c>
      <c r="F10" s="12" t="s">
        <v>15</v>
      </c>
      <c r="G10" s="15">
        <f>SUMPRODUCT(($A$2:$A1001=F10)*($C$2:$C1001&gt;0)*$C$2:$C1001)/SUMPRODUCT(($A$2:$A1001=F10)*($B$2:$B1001&gt;0)*$B$2:$B1001)</f>
        <v>167.295214557071</v>
      </c>
      <c r="I10" s="12" t="str">
        <f>IFERROR(__xludf.DUMMYFUNCTION("""COMPUTED_VALUE"""),"HGLG11")</f>
        <v>HGLG11</v>
      </c>
      <c r="J10" s="31">
        <f>IFERROR(__xludf.DUMMYFUNCTION("""COMPUTED_VALUE"""),24417.40968099)</f>
        <v>24417.40968099</v>
      </c>
      <c r="N10" s="12"/>
      <c r="O10" s="12"/>
      <c r="S10" s="58" t="s">
        <v>267</v>
      </c>
      <c r="T10" s="64">
        <v>0</v>
      </c>
    </row>
    <row r="11" ht="12.75" spans="1:20">
      <c r="A11" s="12" t="str">
        <f>IFERROR(__xludf.DUMMYFUNCTION("""COMPUTED_VALUE"""),"BARI11")</f>
        <v>BARI11</v>
      </c>
      <c r="B11" s="12">
        <f>IFERROR(__xludf.DUMMYFUNCTION("""COMPUTED_VALUE"""),15)</f>
        <v>15</v>
      </c>
      <c r="C11" s="26">
        <f>IFERROR(__xludf.DUMMYFUNCTION("""COMPUTED_VALUE"""),1003.06499999999)</f>
        <v>1003.06499999999</v>
      </c>
      <c r="D11" s="27">
        <f>IFERROR(__xludf.DUMMYFUNCTION("""COMPUTED_VALUE"""),45631)</f>
        <v>45631</v>
      </c>
      <c r="F11" s="12" t="s">
        <v>13</v>
      </c>
      <c r="G11" s="15">
        <f>SUMPRODUCT(($A$2:$A1002=F11)*($C$2:$C1002&gt;0)*$C$2:$C1002)/SUMPRODUCT(($A$2:$A1002=F11)*($B$2:$B1002&gt;0)*$B$2:$B1002)</f>
        <v>105.927648528995</v>
      </c>
      <c r="I11" s="12" t="str">
        <f>IFERROR(__xludf.DUMMYFUNCTION("""COMPUTED_VALUE"""),"LVBI11")</f>
        <v>LVBI11</v>
      </c>
      <c r="J11" s="31">
        <f>IFERROR(__xludf.DUMMYFUNCTION("""COMPUTED_VALUE"""),22773.090874752)</f>
        <v>22773.090874752</v>
      </c>
      <c r="N11" s="12"/>
      <c r="O11" s="12"/>
      <c r="S11" s="3" t="s">
        <v>268</v>
      </c>
      <c r="T11" s="6">
        <v>125.77</v>
      </c>
    </row>
    <row r="12" ht="12.75" spans="1:26">
      <c r="A12" s="12" t="str">
        <f>IFERROR(__xludf.DUMMYFUNCTION("""COMPUTED_VALUE"""),"TGAR11")</f>
        <v>TGAR11</v>
      </c>
      <c r="B12" s="12">
        <f>IFERROR(__xludf.DUMMYFUNCTION("""COMPUTED_VALUE"""),10)</f>
        <v>10</v>
      </c>
      <c r="C12" s="26">
        <f>IFERROR(__xludf.DUMMYFUNCTION("""COMPUTED_VALUE"""),961.295)</f>
        <v>961.295</v>
      </c>
      <c r="D12" s="27">
        <f>IFERROR(__xludf.DUMMYFUNCTION("""COMPUTED_VALUE"""),45628)</f>
        <v>45628</v>
      </c>
      <c r="F12" s="12" t="s">
        <v>133</v>
      </c>
      <c r="G12" s="15">
        <f>SUMPRODUCT(($A$2:$A1003=F12)*($C$2:$C1003&gt;0)*$C$2:$C1003)/SUMPRODUCT(($A$2:$A1003=F12)*($B$2:$B1003&gt;0)*$B$2:$B1003)</f>
        <v>113.933083337455</v>
      </c>
      <c r="I12" s="12" t="str">
        <f>IFERROR(__xludf.DUMMYFUNCTION("""COMPUTED_VALUE"""),"RECR11")</f>
        <v>RECR11</v>
      </c>
      <c r="J12" s="31">
        <f>IFERROR(__xludf.DUMMYFUNCTION("""COMPUTED_VALUE"""),21741.294855285)</f>
        <v>21741.294855285</v>
      </c>
      <c r="K12" s="15"/>
      <c r="N12" s="12"/>
      <c r="O12" s="12"/>
      <c r="S12" s="65" t="s">
        <v>269</v>
      </c>
      <c r="V12" s="55" t="s">
        <v>250</v>
      </c>
      <c r="W12" s="55" t="s">
        <v>251</v>
      </c>
      <c r="X12" s="55" t="s">
        <v>237</v>
      </c>
      <c r="Y12" s="55" t="s">
        <v>252</v>
      </c>
      <c r="Z12" s="55" t="s">
        <v>8</v>
      </c>
    </row>
    <row r="13" ht="12.75" spans="1:26">
      <c r="A13" s="12" t="str">
        <f>IFERROR(__xludf.DUMMYFUNCTION("""COMPUTED_VALUE"""),"NCHB11")</f>
        <v>NCHB11</v>
      </c>
      <c r="B13" s="12">
        <f>IFERROR(__xludf.DUMMYFUNCTION("""COMPUTED_VALUE"""),100)</f>
        <v>100</v>
      </c>
      <c r="C13" s="26">
        <f>IFERROR(__xludf.DUMMYFUNCTION("""COMPUTED_VALUE"""),827.255)</f>
        <v>827.255</v>
      </c>
      <c r="D13" s="27">
        <f>IFERROR(__xludf.DUMMYFUNCTION("""COMPUTED_VALUE"""),45628)</f>
        <v>45628</v>
      </c>
      <c r="F13" s="12" t="s">
        <v>16</v>
      </c>
      <c r="G13" s="15">
        <f>SUMPRODUCT(($A$2:$A1004=F13)*($C$2:$C1004&gt;0)*$C$2:$C1004)/SUMPRODUCT(($A$2:$A1004=F13)*($B$2:$B1004&gt;0)*$B$2:$B1004)</f>
        <v>105.699533643729</v>
      </c>
      <c r="I13" s="12" t="str">
        <f>IFERROR(__xludf.DUMMYFUNCTION("""COMPUTED_VALUE"""),"HCTR11")</f>
        <v>HCTR11</v>
      </c>
      <c r="J13" s="31">
        <f>IFERROR(__xludf.DUMMYFUNCTION("""COMPUTED_VALUE"""),17431.85850481)</f>
        <v>17431.85850481</v>
      </c>
      <c r="K13" s="15"/>
      <c r="N13" s="12"/>
      <c r="O13" s="12"/>
      <c r="S13" s="3" t="s">
        <v>270</v>
      </c>
      <c r="T13" s="19">
        <f>(T6+T$11*T$5)/(1+T$5)</f>
        <v>129.605807797714</v>
      </c>
      <c r="V13" s="11" t="s">
        <v>254</v>
      </c>
      <c r="W13" s="57">
        <v>0</v>
      </c>
      <c r="X13" s="57">
        <v>0</v>
      </c>
      <c r="Y13" s="29">
        <f t="shared" ref="Y13:Y17" si="1">SUM(W13:X13)</f>
        <v>0</v>
      </c>
      <c r="Z13" s="57">
        <v>0</v>
      </c>
    </row>
    <row r="14" ht="12.75" spans="1:26">
      <c r="A14" s="12" t="str">
        <f>IFERROR(__xludf.DUMMYFUNCTION("""COMPUTED_VALUE"""),"JURO11")</f>
        <v>JURO11</v>
      </c>
      <c r="B14" s="12">
        <f>IFERROR(__xludf.DUMMYFUNCTION("""COMPUTED_VALUE"""),10)</f>
        <v>10</v>
      </c>
      <c r="C14" s="26">
        <f>IFERROR(__xludf.DUMMYFUNCTION("""COMPUTED_VALUE"""),982.31)</f>
        <v>982.31</v>
      </c>
      <c r="D14" s="27">
        <f>IFERROR(__xludf.DUMMYFUNCTION("""COMPUTED_VALUE"""),45628)</f>
        <v>45628</v>
      </c>
      <c r="F14" s="12" t="s">
        <v>156</v>
      </c>
      <c r="G14" s="15">
        <f>SUMPRODUCT(($A$2:$A1005=F14)*($C$2:$C1005&gt;0)*$C$2:$C1005)/SUMPRODUCT(($A$2:$A1005=F14)*($B$2:$B1005&gt;0)*$B$2:$B1005)</f>
        <v>114.919625877544</v>
      </c>
      <c r="I14" s="12" t="str">
        <f>IFERROR(__xludf.DUMMYFUNCTION("""COMPUTED_VALUE"""),"RBRP11")</f>
        <v>RBRP11</v>
      </c>
      <c r="J14" s="31">
        <f>IFERROR(__xludf.DUMMYFUNCTION("""COMPUTED_VALUE"""),9807.745325775)</f>
        <v>9807.745325775</v>
      </c>
      <c r="K14" s="15"/>
      <c r="N14" s="12"/>
      <c r="O14" s="12"/>
      <c r="S14" s="58" t="s">
        <v>271</v>
      </c>
      <c r="T14" s="66">
        <f>(T7+T$11*(1+T$10)*T$5)/(1+T$5)</f>
        <v>137.581523470797</v>
      </c>
      <c r="V14" s="11" t="s">
        <v>256</v>
      </c>
      <c r="W14" s="57">
        <v>0.0813</v>
      </c>
      <c r="X14" s="57">
        <v>0.0437</v>
      </c>
      <c r="Y14" s="29">
        <f t="shared" si="1"/>
        <v>0.125</v>
      </c>
      <c r="Z14" s="57">
        <v>0.87</v>
      </c>
    </row>
    <row r="15" ht="12.75" spans="1:26">
      <c r="A15" s="12" t="str">
        <f>IFERROR(__xludf.DUMMYFUNCTION("""COMPUTED_VALUE"""),"VGHF11")</f>
        <v>VGHF11</v>
      </c>
      <c r="B15" s="12">
        <f>IFERROR(__xludf.DUMMYFUNCTION("""COMPUTED_VALUE"""),100)</f>
        <v>100</v>
      </c>
      <c r="C15" s="26">
        <f>IFERROR(__xludf.DUMMYFUNCTION("""COMPUTED_VALUE"""),854.259999999999)</f>
        <v>854.259999999999</v>
      </c>
      <c r="D15" s="27">
        <f>IFERROR(__xludf.DUMMYFUNCTION("""COMPUTED_VALUE"""),45565)</f>
        <v>45565</v>
      </c>
      <c r="F15" s="12" t="s">
        <v>24</v>
      </c>
      <c r="G15" s="15">
        <f>SUMPRODUCT(($A$2:$A1006=F15)*($C$2:$C1006&gt;0)*$C$2:$C1006)/SUMPRODUCT(($A$2:$A1006=F15)*($B$2:$B1006&gt;0)*$B$2:$B1006)</f>
        <v>99.3049130123333</v>
      </c>
      <c r="I15" s="12" t="str">
        <f>IFERROR(__xludf.DUMMYFUNCTION("""COMPUTED_VALUE"""),"HBRH11")</f>
        <v>HBRH11</v>
      </c>
      <c r="J15" s="31">
        <f>IFERROR(__xludf.DUMMYFUNCTION("""COMPUTED_VALUE"""),7308.6538513198)</f>
        <v>7308.6538513198</v>
      </c>
      <c r="K15" s="15"/>
      <c r="N15" s="12"/>
      <c r="O15" s="12"/>
      <c r="S15" s="3" t="s">
        <v>272</v>
      </c>
      <c r="T15" s="61">
        <v>0.12</v>
      </c>
      <c r="V15" s="11" t="s">
        <v>259</v>
      </c>
      <c r="W15" s="57">
        <v>0.0593</v>
      </c>
      <c r="X15" s="57">
        <v>0.0276</v>
      </c>
      <c r="Y15" s="29">
        <f t="shared" si="1"/>
        <v>0.0869</v>
      </c>
      <c r="Z15" s="57">
        <v>0.13</v>
      </c>
    </row>
    <row r="16" ht="12.75" spans="1:26">
      <c r="A16" s="12" t="str">
        <f>IFERROR(__xludf.DUMMYFUNCTION("""COMPUTED_VALUE"""),"BARI11")</f>
        <v>BARI11</v>
      </c>
      <c r="B16" s="12">
        <f>IFERROR(__xludf.DUMMYFUNCTION("""COMPUTED_VALUE"""),10)</f>
        <v>10</v>
      </c>
      <c r="C16" s="26">
        <f>IFERROR(__xludf.DUMMYFUNCTION("""COMPUTED_VALUE"""),770.24)</f>
        <v>770.24</v>
      </c>
      <c r="D16" s="27">
        <f>IFERROR(__xludf.DUMMYFUNCTION("""COMPUTED_VALUE"""),45565)</f>
        <v>45565</v>
      </c>
      <c r="F16" s="12" t="s">
        <v>39</v>
      </c>
      <c r="G16" s="15">
        <f>SUMPRODUCT(($A$2:$A1007=F16)*($C$2:$C1007&gt;0)*$C$2:$C1007)/SUMPRODUCT(($A$2:$A1007=F16)*($B$2:$B1007&gt;0)*$B$2:$B1007)</f>
        <v>118.534161483295</v>
      </c>
      <c r="I16" s="12" t="str">
        <f>IFERROR(__xludf.DUMMYFUNCTION("""COMPUTED_VALUE"""),"HGBS11")</f>
        <v>HGBS11</v>
      </c>
      <c r="J16" s="31">
        <f>IFERROR(__xludf.DUMMYFUNCTION("""COMPUTED_VALUE"""),4135.538239664)</f>
        <v>4135.538239664</v>
      </c>
      <c r="K16" s="15"/>
      <c r="N16" s="12"/>
      <c r="O16" s="12"/>
      <c r="S16" s="58" t="s">
        <v>273</v>
      </c>
      <c r="T16" s="66">
        <f>T8+T$5*(T8*T15/T9)/(1+T$5)</f>
        <v>1.86866991231338</v>
      </c>
      <c r="V16" s="11" t="s">
        <v>261</v>
      </c>
      <c r="W16" s="57">
        <v>0</v>
      </c>
      <c r="X16" s="57">
        <v>0</v>
      </c>
      <c r="Y16" s="29">
        <f t="shared" si="1"/>
        <v>0</v>
      </c>
      <c r="Z16" s="57">
        <v>0</v>
      </c>
    </row>
    <row r="17" ht="12.75" spans="1:26">
      <c r="A17" s="12" t="str">
        <f>IFERROR(__xludf.DUMMYFUNCTION("""COMPUTED_VALUE"""),"BODB11")</f>
        <v>BODB11</v>
      </c>
      <c r="B17" s="12">
        <f>IFERROR(__xludf.DUMMYFUNCTION("""COMPUTED_VALUE"""),100)</f>
        <v>100</v>
      </c>
      <c r="C17" s="26">
        <f>IFERROR(__xludf.DUMMYFUNCTION("""COMPUTED_VALUE"""),870.269999999999)</f>
        <v>870.269999999999</v>
      </c>
      <c r="D17" s="27">
        <f>IFERROR(__xludf.DUMMYFUNCTION("""COMPUTED_VALUE"""),45565)</f>
        <v>45565</v>
      </c>
      <c r="F17" s="12" t="s">
        <v>20</v>
      </c>
      <c r="G17" s="15">
        <f>SUMPRODUCT(($A$2:$A1008=F17)*($C$2:$C1008&gt;0)*$C$2:$C1008)/SUMPRODUCT(($A$2:$A1008=F17)*($B$2:$B1008&gt;0)*$B$2:$B1008)</f>
        <v>95.7070356404031</v>
      </c>
      <c r="I17" s="12" t="str">
        <f>IFERROR(__xludf.DUMMYFUNCTION("""COMPUTED_VALUE"""),"MFII11")</f>
        <v>MFII11</v>
      </c>
      <c r="J17" s="31">
        <f>IFERROR(__xludf.DUMMYFUNCTION("""COMPUTED_VALUE"""),3800.66448255)</f>
        <v>3800.66448255</v>
      </c>
      <c r="K17" s="15"/>
      <c r="N17" s="12"/>
      <c r="O17" s="12"/>
      <c r="S17" s="3" t="s">
        <v>274</v>
      </c>
      <c r="T17" s="67">
        <f>T4/T11</f>
        <v>2782858</v>
      </c>
      <c r="V17" s="11" t="s">
        <v>263</v>
      </c>
      <c r="W17" s="57">
        <v>0</v>
      </c>
      <c r="X17" s="29"/>
      <c r="Y17" s="29">
        <f t="shared" si="1"/>
        <v>0</v>
      </c>
      <c r="Z17" s="57">
        <v>0</v>
      </c>
    </row>
    <row r="18" ht="12.75" spans="1:26">
      <c r="A18" s="12" t="str">
        <f>IFERROR(__xludf.DUMMYFUNCTION("""COMPUTED_VALUE"""),"BODB11")</f>
        <v>BODB11</v>
      </c>
      <c r="B18" s="12">
        <f>IFERROR(__xludf.DUMMYFUNCTION("""COMPUTED_VALUE"""),100)</f>
        <v>100</v>
      </c>
      <c r="C18" s="26">
        <f>IFERROR(__xludf.DUMMYFUNCTION("""COMPUTED_VALUE"""),872.26)</f>
        <v>872.26</v>
      </c>
      <c r="D18" s="27">
        <f>IFERROR(__xludf.DUMMYFUNCTION("""COMPUTED_VALUE"""),45559)</f>
        <v>45559</v>
      </c>
      <c r="F18" s="12" t="s">
        <v>231</v>
      </c>
      <c r="G18" s="15">
        <f>SUMPRODUCT(($A$2:$A1009=F18)*($C$2:$C1009&gt;0)*$C$2:$C1009)/SUMPRODUCT(($A$2:$A1009=F18)*($B$2:$B1009&gt;0)*$B$2:$B1009)</f>
        <v>115.404666666667</v>
      </c>
      <c r="I18" s="12" t="str">
        <f>IFERROR(__xludf.DUMMYFUNCTION("""COMPUTED_VALUE"""),"MGFF11")</f>
        <v>MGFF11</v>
      </c>
      <c r="J18" s="31">
        <f>IFERROR(__xludf.DUMMYFUNCTION("""COMPUTED_VALUE"""),3332.299989858)</f>
        <v>3332.299989858</v>
      </c>
      <c r="K18" s="15"/>
      <c r="N18" s="12"/>
      <c r="O18" s="12"/>
      <c r="V18" s="11"/>
      <c r="W18" s="11"/>
      <c r="X18" s="20"/>
      <c r="Y18" s="20"/>
      <c r="Z18" s="57">
        <f>SUM(Z13:Z17)</f>
        <v>1</v>
      </c>
    </row>
    <row r="19" ht="12.75" spans="1:26">
      <c r="A19" s="12" t="str">
        <f>IFERROR(__xludf.DUMMYFUNCTION("""COMPUTED_VALUE"""),"BDIF11")</f>
        <v>BDIF11</v>
      </c>
      <c r="B19" s="12">
        <f>IFERROR(__xludf.DUMMYFUNCTION("""COMPUTED_VALUE"""),10)</f>
        <v>10</v>
      </c>
      <c r="C19" s="26">
        <f>IFERROR(__xludf.DUMMYFUNCTION("""COMPUTED_VALUE"""),827.75)</f>
        <v>827.75</v>
      </c>
      <c r="D19" s="27">
        <f>IFERROR(__xludf.DUMMYFUNCTION("""COMPUTED_VALUE"""),45548)</f>
        <v>45548</v>
      </c>
      <c r="F19" s="12" t="s">
        <v>21</v>
      </c>
      <c r="G19" s="15">
        <f>SUMPRODUCT(($A$2:$A1010=F19)*($C$2:$C1010&gt;0)*$C$2:$C1010)/SUMPRODUCT(($A$2:$A1010=F19)*($B$2:$B1010&gt;0)*$B$2:$B1010)</f>
        <v>152.175379681683</v>
      </c>
      <c r="I19" s="12" t="str">
        <f>IFERROR(__xludf.DUMMYFUNCTION("""COMPUTED_VALUE"""),"RBED11")</f>
        <v>RBED11</v>
      </c>
      <c r="J19" s="31">
        <f>IFERROR(__xludf.DUMMYFUNCTION("""COMPUTED_VALUE"""),3268.9983732)</f>
        <v>3268.9983732</v>
      </c>
      <c r="K19" s="15"/>
      <c r="N19" s="12"/>
      <c r="O19" s="12"/>
      <c r="V19" s="62" t="s">
        <v>266</v>
      </c>
      <c r="W19" s="11"/>
      <c r="X19" s="63">
        <f>SUMPRODUCT(Y13:Y17,Z13:Z17)</f>
        <v>0.120047</v>
      </c>
      <c r="Y19" s="20"/>
      <c r="Z19" s="11"/>
    </row>
    <row r="20" ht="12.75" spans="1:15">
      <c r="A20" s="12" t="str">
        <f>IFERROR(__xludf.DUMMYFUNCTION("""COMPUTED_VALUE"""),"RZTR11")</f>
        <v>RZTR11</v>
      </c>
      <c r="B20" s="12">
        <f>IFERROR(__xludf.DUMMYFUNCTION("""COMPUTED_VALUE"""),10)</f>
        <v>10</v>
      </c>
      <c r="C20" s="26">
        <f>IFERROR(__xludf.DUMMYFUNCTION("""COMPUTED_VALUE"""),923.98)</f>
        <v>923.98</v>
      </c>
      <c r="D20" s="27">
        <f>IFERROR(__xludf.DUMMYFUNCTION("""COMPUTED_VALUE"""),45548)</f>
        <v>45548</v>
      </c>
      <c r="F20" s="12" t="s">
        <v>28</v>
      </c>
      <c r="G20" s="15">
        <f>SUMPRODUCT(($A$2:$A1011=F20)*($C$2:$C1011&gt;0)*$C$2:$C1011)/SUMPRODUCT(($A$2:$A1011=F20)*($B$2:$B1011&gt;0)*$B$2:$B1011)</f>
        <v>11.0767811658722</v>
      </c>
      <c r="I20" s="12" t="str">
        <f>IFERROR(__xludf.DUMMYFUNCTION("""COMPUTED_VALUE"""),"HGCR11")</f>
        <v>HGCR11</v>
      </c>
      <c r="J20" s="31">
        <f>IFERROR(__xludf.DUMMYFUNCTION("""COMPUTED_VALUE"""),1921.008293207)</f>
        <v>1921.008293207</v>
      </c>
      <c r="K20" s="15"/>
      <c r="N20" s="12"/>
      <c r="O20" s="12"/>
    </row>
    <row r="21" ht="12.75" spans="1:15">
      <c r="A21" s="12" t="str">
        <f>IFERROR(__xludf.DUMMYFUNCTION("""COMPUTED_VALUE"""),"BODB11")</f>
        <v>BODB11</v>
      </c>
      <c r="B21" s="12">
        <f>IFERROR(__xludf.DUMMYFUNCTION("""COMPUTED_VALUE"""),100)</f>
        <v>100</v>
      </c>
      <c r="C21" s="26">
        <f>IFERROR(__xludf.DUMMYFUNCTION("""COMPUTED_VALUE"""),907.27)</f>
        <v>907.27</v>
      </c>
      <c r="D21" s="27">
        <f>IFERROR(__xludf.DUMMYFUNCTION("""COMPUTED_VALUE"""),45538)</f>
        <v>45538</v>
      </c>
      <c r="F21" s="12" t="s">
        <v>18</v>
      </c>
      <c r="G21" s="15">
        <f>SUMPRODUCT(($A$2:$A1012=F21)*($C$2:$C1012&gt;0)*$C$2:$C1012)/SUMPRODUCT(($A$2:$A1012=F21)*($B$2:$B1012&gt;0)*$B$2:$B1012)</f>
        <v>124.438605489762</v>
      </c>
      <c r="I21" s="12" t="str">
        <f>IFERROR(__xludf.DUMMYFUNCTION("""COMPUTED_VALUE"""),"SPTW11")</f>
        <v>SPTW11</v>
      </c>
      <c r="J21" s="31">
        <f>IFERROR(__xludf.DUMMYFUNCTION("""COMPUTED_VALUE"""),1403.55126011)</f>
        <v>1403.55126011</v>
      </c>
      <c r="K21" s="15"/>
      <c r="N21" s="12"/>
      <c r="O21" s="12"/>
    </row>
    <row r="22" ht="12.75" spans="1:15">
      <c r="A22" s="12" t="str">
        <f>IFERROR(__xludf.DUMMYFUNCTION("""COMPUTED_VALUE"""),"BIDB11")</f>
        <v>BIDB11</v>
      </c>
      <c r="B22" s="12">
        <f>IFERROR(__xludf.DUMMYFUNCTION("""COMPUTED_VALUE"""),10)</f>
        <v>10</v>
      </c>
      <c r="C22" s="26">
        <f>IFERROR(__xludf.DUMMYFUNCTION("""COMPUTED_VALUE"""),906.27)</f>
        <v>906.27</v>
      </c>
      <c r="D22" s="27">
        <f>IFERROR(__xludf.DUMMYFUNCTION("""COMPUTED_VALUE"""),45531)</f>
        <v>45531</v>
      </c>
      <c r="F22" s="12" t="s">
        <v>22</v>
      </c>
      <c r="G22" s="15">
        <f>SUMPRODUCT(($A$2:$A1013=F22)*($C$2:$C1013&gt;0)*$C$2:$C1013)/SUMPRODUCT(($A$2:$A1013=F22)*($B$2:$B1013&gt;0)*$B$2:$B1013)</f>
        <v>110.73120380141</v>
      </c>
      <c r="I22" s="12" t="str">
        <f>IFERROR(__xludf.DUMMYFUNCTION("""COMPUTED_VALUE"""),"BBPO11")</f>
        <v>BBPO11</v>
      </c>
      <c r="J22" s="31">
        <f>IFERROR(__xludf.DUMMYFUNCTION("""COMPUTED_VALUE"""),1245.87214031599)</f>
        <v>1245.87214031599</v>
      </c>
      <c r="K22" s="15"/>
      <c r="M22" s="15"/>
      <c r="N22" s="12"/>
      <c r="O22" s="12"/>
    </row>
    <row r="23" ht="12.75" spans="1:15">
      <c r="A23" s="12" t="str">
        <f>IFERROR(__xludf.DUMMYFUNCTION("""COMPUTED_VALUE"""),"CPTI11")</f>
        <v>CPTI11</v>
      </c>
      <c r="B23" s="12">
        <f>IFERROR(__xludf.DUMMYFUNCTION("""COMPUTED_VALUE"""),10)</f>
        <v>10</v>
      </c>
      <c r="C23" s="26">
        <f>IFERROR(__xludf.DUMMYFUNCTION("""COMPUTED_VALUE"""),964.49)</f>
        <v>964.49</v>
      </c>
      <c r="D23" s="27">
        <f>IFERROR(__xludf.DUMMYFUNCTION("""COMPUTED_VALUE"""),45525)</f>
        <v>45525</v>
      </c>
      <c r="F23" s="12" t="s">
        <v>35</v>
      </c>
      <c r="G23" s="15">
        <f>SUMPRODUCT(($A$2:$A1014=F23)*($C$2:$C1014&gt;0)*$C$2:$C1014)/SUMPRODUCT(($A$2:$A1014=F23)*($B$2:$B1014&gt;0)*$B$2:$B1014)</f>
        <v>152.4353836</v>
      </c>
      <c r="I23" s="12" t="str">
        <f>IFERROR(__xludf.DUMMYFUNCTION("""COMPUTED_VALUE"""),"HFOF11")</f>
        <v>HFOF11</v>
      </c>
      <c r="J23" s="31">
        <f>IFERROR(__xludf.DUMMYFUNCTION("""COMPUTED_VALUE"""),155.826363835001)</f>
        <v>155.826363835001</v>
      </c>
      <c r="K23" s="15"/>
      <c r="M23" s="15"/>
      <c r="N23" s="12"/>
      <c r="O23" s="12"/>
    </row>
    <row r="24" ht="12.75" spans="1:15">
      <c r="A24" s="12" t="str">
        <f>IFERROR(__xludf.DUMMYFUNCTION("""COMPUTED_VALUE"""),"BIDB11")</f>
        <v>BIDB11</v>
      </c>
      <c r="B24" s="12">
        <f>IFERROR(__xludf.DUMMYFUNCTION("""COMPUTED_VALUE"""),10)</f>
        <v>10</v>
      </c>
      <c r="C24" s="26">
        <f>IFERROR(__xludf.DUMMYFUNCTION("""COMPUTED_VALUE"""),898.775)</f>
        <v>898.775</v>
      </c>
      <c r="D24" s="27">
        <f>IFERROR(__xludf.DUMMYFUNCTION("""COMPUTED_VALUE"""),45512)</f>
        <v>45512</v>
      </c>
      <c r="F24" s="12" t="s">
        <v>146</v>
      </c>
      <c r="G24" s="15">
        <f>SUMPRODUCT(($A$2:$A1015=F24)*($C$2:$C1015&gt;0)*$C$2:$C1015)/SUMPRODUCT(($A$2:$A1015=F24)*($B$2:$B1015&gt;0)*$B$2:$B1015)</f>
        <v>97.4487180175973</v>
      </c>
      <c r="I24" s="12" t="str">
        <f>IFERROR(__xludf.DUMMYFUNCTION("""COMPUTED_VALUE"""),"XPML11")</f>
        <v>XPML11</v>
      </c>
      <c r="J24" s="31">
        <f>IFERROR(__xludf.DUMMYFUNCTION("""COMPUTED_VALUE"""),23.2507975639978)</f>
        <v>23.2507975639978</v>
      </c>
      <c r="K24" s="15"/>
      <c r="M24" s="15"/>
      <c r="N24" s="12"/>
      <c r="O24" s="12"/>
    </row>
    <row r="25" ht="18.75" customHeight="1" spans="1:26">
      <c r="A25" s="12" t="str">
        <f>IFERROR(__xludf.DUMMYFUNCTION("""COMPUTED_VALUE"""),"BDIF11")</f>
        <v>BDIF11</v>
      </c>
      <c r="B25" s="12">
        <f>IFERROR(__xludf.DUMMYFUNCTION("""COMPUTED_VALUE"""),10)</f>
        <v>10</v>
      </c>
      <c r="C25" s="26">
        <f>IFERROR(__xludf.DUMMYFUNCTION("""COMPUTED_VALUE"""),824.765)</f>
        <v>824.765</v>
      </c>
      <c r="D25" s="27">
        <f>IFERROR(__xludf.DUMMYFUNCTION("""COMPUTED_VALUE"""),45512)</f>
        <v>45512</v>
      </c>
      <c r="F25" s="12" t="s">
        <v>129</v>
      </c>
      <c r="G25" s="15">
        <f>SUMPRODUCT(($A$2:$A1016=F25)*($C$2:$C1016&gt;0)*$C$2:$C1016)/SUMPRODUCT(($A$2:$A1016=F25)*($B$2:$B1016&gt;0)*$B$2:$B1016)</f>
        <v>93.2117642464815</v>
      </c>
      <c r="I25" s="12" t="str">
        <f>IFERROR(__xludf.DUMMYFUNCTION("""COMPUTED_VALUE"""),"XPLG11")</f>
        <v>XPLG11</v>
      </c>
      <c r="J25" s="31">
        <f>IFERROR(__xludf.DUMMYFUNCTION("""COMPUTED_VALUE"""),-212.695470694999)</f>
        <v>-212.695470694999</v>
      </c>
      <c r="K25" s="15"/>
      <c r="M25" s="15"/>
      <c r="N25" s="12"/>
      <c r="O25" s="12"/>
      <c r="U25" s="23"/>
      <c r="V25" s="23"/>
      <c r="W25" s="23"/>
      <c r="X25" s="23"/>
      <c r="Y25" s="23"/>
      <c r="Z25" s="24"/>
    </row>
    <row r="26" ht="12.75" spans="1:26">
      <c r="A26" s="12" t="str">
        <f>IFERROR(__xludf.DUMMYFUNCTION("""COMPUTED_VALUE"""),"HSAF11")</f>
        <v>HSAF11</v>
      </c>
      <c r="B26" s="12">
        <f>IFERROR(__xludf.DUMMYFUNCTION("""COMPUTED_VALUE"""),10)</f>
        <v>10</v>
      </c>
      <c r="C26" s="26">
        <f>IFERROR(__xludf.DUMMYFUNCTION("""COMPUTED_VALUE"""),837.763)</f>
        <v>837.763</v>
      </c>
      <c r="D26" s="27">
        <f>IFERROR(__xludf.DUMMYFUNCTION("""COMPUTED_VALUE"""),45509)</f>
        <v>45509</v>
      </c>
      <c r="F26" s="12" t="s">
        <v>23</v>
      </c>
      <c r="G26" s="15">
        <f>SUMPRODUCT(($A$2:$A1017=F26)*($C$2:$C1017&gt;0)*$C$2:$C1017)/SUMPRODUCT(($A$2:$A1017=F26)*($B$2:$B1017&gt;0)*$B$2:$B1017)</f>
        <v>98.4076191574324</v>
      </c>
      <c r="I26" s="12"/>
      <c r="J26" s="34"/>
      <c r="K26" s="15"/>
      <c r="M26" s="15"/>
      <c r="N26" s="12"/>
      <c r="O26" s="12"/>
      <c r="U26" s="11"/>
      <c r="V26" s="14"/>
      <c r="W26" s="29"/>
      <c r="Y26" s="15"/>
      <c r="Z26" s="72"/>
    </row>
    <row r="27" ht="12.75" spans="1:26">
      <c r="A27" s="12" t="str">
        <f>IFERROR(__xludf.DUMMYFUNCTION("""COMPUTED_VALUE"""),"VGHF11")</f>
        <v>VGHF11</v>
      </c>
      <c r="B27" s="12">
        <f>IFERROR(__xludf.DUMMYFUNCTION("""COMPUTED_VALUE"""),100)</f>
        <v>100</v>
      </c>
      <c r="C27" s="26">
        <f>IFERROR(__xludf.DUMMYFUNCTION("""COMPUTED_VALUE"""),870.262999999999)</f>
        <v>870.262999999999</v>
      </c>
      <c r="D27" s="27">
        <f>IFERROR(__xludf.DUMMYFUNCTION("""COMPUTED_VALUE"""),45509)</f>
        <v>45509</v>
      </c>
      <c r="F27" s="12" t="s">
        <v>26</v>
      </c>
      <c r="G27" s="15">
        <f>SUMPRODUCT(($A$2:$A1018=F27)*($C$2:$C1018&gt;0)*$C$2:$C1018)/SUMPRODUCT(($A$2:$A1018=F27)*($B$2:$B1018&gt;0)*$B$2:$B1018)</f>
        <v>9.96569929994135</v>
      </c>
      <c r="I27" s="12"/>
      <c r="J27" s="34"/>
      <c r="K27" s="15"/>
      <c r="L27" s="35" t="s">
        <v>16</v>
      </c>
      <c r="P27" s="35" t="s">
        <v>39</v>
      </c>
      <c r="U27" s="11"/>
      <c r="V27" s="14"/>
      <c r="W27" s="29"/>
      <c r="Y27" s="15"/>
      <c r="Z27" s="73"/>
    </row>
    <row r="28" ht="12.75" spans="1:26">
      <c r="A28" s="12" t="str">
        <f>IFERROR(__xludf.DUMMYFUNCTION("""COMPUTED_VALUE"""),"RECR11")</f>
        <v>RECR11</v>
      </c>
      <c r="B28" s="12">
        <f>IFERROR(__xludf.DUMMYFUNCTION("""COMPUTED_VALUE"""),10)</f>
        <v>10</v>
      </c>
      <c r="C28" s="26">
        <f>IFERROR(__xludf.DUMMYFUNCTION("""COMPUTED_VALUE"""),842.263)</f>
        <v>842.263</v>
      </c>
      <c r="D28" s="27">
        <f>IFERROR(__xludf.DUMMYFUNCTION("""COMPUTED_VALUE"""),45509)</f>
        <v>45509</v>
      </c>
      <c r="F28" s="12" t="s">
        <v>275</v>
      </c>
      <c r="G28" s="14">
        <v>96.518</v>
      </c>
      <c r="I28" s="12"/>
      <c r="J28" s="34"/>
      <c r="K28" s="15"/>
      <c r="L28" s="36" t="s">
        <v>276</v>
      </c>
      <c r="M28" s="37" t="s">
        <v>277</v>
      </c>
      <c r="N28" s="36" t="s">
        <v>278</v>
      </c>
      <c r="O28" s="36" t="s">
        <v>217</v>
      </c>
      <c r="P28" s="37" t="s">
        <v>277</v>
      </c>
      <c r="Q28" s="36" t="s">
        <v>278</v>
      </c>
      <c r="R28" s="36" t="s">
        <v>217</v>
      </c>
      <c r="U28" s="11"/>
      <c r="V28" s="14"/>
      <c r="W28" s="29"/>
      <c r="Y28" s="15"/>
      <c r="Z28" s="72"/>
    </row>
    <row r="29" ht="12.75" spans="1:26">
      <c r="A29" s="12" t="str">
        <f>IFERROR(__xludf.DUMMYFUNCTION("""COMPUTED_VALUE"""),"BDIF11")</f>
        <v>BDIF11</v>
      </c>
      <c r="B29" s="12">
        <f>IFERROR(__xludf.DUMMYFUNCTION("""COMPUTED_VALUE"""),15)</f>
        <v>15</v>
      </c>
      <c r="C29" s="26">
        <f>IFERROR(__xludf.DUMMYFUNCTION("""COMPUTED_VALUE"""),1285.89999999999)</f>
        <v>1285.89999999999</v>
      </c>
      <c r="D29" s="27">
        <f>IFERROR(__xludf.DUMMYFUNCTION("""COMPUTED_VALUE"""),45497)</f>
        <v>45497</v>
      </c>
      <c r="F29" s="12" t="s">
        <v>27</v>
      </c>
      <c r="G29" s="14">
        <f>SUMPRODUCT(($A$2:$A1000=F29)*($C$2:$C1000&gt;0)*$C$2:$C1000)/SUMPRODUCT(($A$2:$A1000=F29)*($B$2:$B1000&gt;0)*$B$2:$B1000)</f>
        <v>94.1179115912758</v>
      </c>
      <c r="I29" s="12"/>
      <c r="J29" s="34"/>
      <c r="K29" s="31"/>
      <c r="L29" s="38">
        <v>1</v>
      </c>
      <c r="M29" s="39">
        <v>-1247.4</v>
      </c>
      <c r="N29" s="40">
        <v>12.81</v>
      </c>
      <c r="O29" s="40">
        <f t="shared" ref="O29:O42" si="2">M29+N29</f>
        <v>-1234.59</v>
      </c>
      <c r="P29" s="40">
        <v>0</v>
      </c>
      <c r="Q29" s="68"/>
      <c r="R29" s="40"/>
      <c r="U29" s="11"/>
      <c r="V29" s="14"/>
      <c r="W29" s="29"/>
      <c r="Y29" s="15"/>
      <c r="Z29" s="73"/>
    </row>
    <row r="30" ht="12.75" spans="1:26">
      <c r="A30" s="12" t="str">
        <f>IFERROR(__xludf.DUMMYFUNCTION("""COMPUTED_VALUE"""),"VGHF11")</f>
        <v>VGHF11</v>
      </c>
      <c r="B30" s="12">
        <f>IFERROR(__xludf.DUMMYFUNCTION("""COMPUTED_VALUE"""),100)</f>
        <v>100</v>
      </c>
      <c r="C30" s="26">
        <f>IFERROR(__xludf.DUMMYFUNCTION("""COMPUTED_VALUE"""),905.26)</f>
        <v>905.26</v>
      </c>
      <c r="D30" s="27">
        <f>IFERROR(__xludf.DUMMYFUNCTION("""COMPUTED_VALUE"""),45398)</f>
        <v>45398</v>
      </c>
      <c r="F30" s="12" t="s">
        <v>29</v>
      </c>
      <c r="G30" s="14">
        <f>SUMPRODUCT(($A$2:$A1001=F30)*($C$2:$C1001&gt;0)*$C$2:$C1001)/SUMPRODUCT(($A$2:$A1001=F30)*($B$2:$B1001&gt;0)*$B$2:$B1001)</f>
        <v>96.4503333333332</v>
      </c>
      <c r="I30" s="12"/>
      <c r="J30" s="34"/>
      <c r="K30" s="31"/>
      <c r="L30" s="4">
        <v>2</v>
      </c>
      <c r="M30" s="6">
        <v>-2832.1</v>
      </c>
      <c r="N30" s="41">
        <v>24.09</v>
      </c>
      <c r="O30" s="41">
        <f t="shared" si="2"/>
        <v>-2808.01</v>
      </c>
      <c r="P30" s="41">
        <v>0</v>
      </c>
      <c r="Q30" s="41"/>
      <c r="R30" s="41"/>
      <c r="U30" s="11"/>
      <c r="V30" s="14"/>
      <c r="W30" s="29"/>
      <c r="Y30" s="15"/>
      <c r="Z30" s="72"/>
    </row>
    <row r="31" ht="12.75" spans="1:26">
      <c r="A31" s="12" t="str">
        <f>IFERROR(__xludf.DUMMYFUNCTION("""COMPUTED_VALUE"""),"BDIF11")</f>
        <v>BDIF11</v>
      </c>
      <c r="B31" s="12">
        <f>IFERROR(__xludf.DUMMYFUNCTION("""COMPUTED_VALUE"""),10)</f>
        <v>10</v>
      </c>
      <c r="C31" s="26">
        <f>IFERROR(__xludf.DUMMYFUNCTION("""COMPUTED_VALUE"""),899.26)</f>
        <v>899.26</v>
      </c>
      <c r="D31" s="27">
        <f>IFERROR(__xludf.DUMMYFUNCTION("""COMPUTED_VALUE"""),45414)</f>
        <v>45414</v>
      </c>
      <c r="F31" s="12" t="s">
        <v>33</v>
      </c>
      <c r="G31" s="14">
        <f>SUMPRODUCT(($A$2:$A1002=F31)*($C$2:$C1002&gt;0)*$C$2:$C1002)/SUMPRODUCT(($A$2:$A1002=F31)*($B$2:$B1002&gt;0)*$B$2:$B1002)</f>
        <v>98.1162780786918</v>
      </c>
      <c r="I31" s="12"/>
      <c r="J31" s="34"/>
      <c r="K31" s="31"/>
      <c r="L31" s="38">
        <v>3</v>
      </c>
      <c r="M31" s="39">
        <v>-9015.88</v>
      </c>
      <c r="N31" s="40">
        <v>31.27</v>
      </c>
      <c r="O31" s="40">
        <f t="shared" si="2"/>
        <v>-8984.61</v>
      </c>
      <c r="P31" s="40">
        <v>0</v>
      </c>
      <c r="Q31" s="40"/>
      <c r="R31" s="40"/>
      <c r="U31" s="11"/>
      <c r="V31" s="14"/>
      <c r="W31" s="29"/>
      <c r="Y31" s="15"/>
      <c r="Z31" s="14"/>
    </row>
    <row r="32" ht="12.75" spans="1:25">
      <c r="A32" s="12" t="str">
        <f>IFERROR(__xludf.DUMMYFUNCTION("""COMPUTED_VALUE"""),"BDIF11")</f>
        <v>BDIF11</v>
      </c>
      <c r="B32" s="12">
        <f>IFERROR(__xludf.DUMMYFUNCTION("""COMPUTED_VALUE"""),10)</f>
        <v>10</v>
      </c>
      <c r="C32" s="26">
        <f>IFERROR(__xludf.DUMMYFUNCTION("""COMPUTED_VALUE"""),879.26)</f>
        <v>879.26</v>
      </c>
      <c r="D32" s="27">
        <f>IFERROR(__xludf.DUMMYFUNCTION("""COMPUTED_VALUE"""),45489)</f>
        <v>45489</v>
      </c>
      <c r="F32" s="12" t="s">
        <v>107</v>
      </c>
      <c r="G32" s="14">
        <v>98.95</v>
      </c>
      <c r="I32" s="12"/>
      <c r="J32" s="34"/>
      <c r="K32" s="31"/>
      <c r="L32" s="4">
        <v>4</v>
      </c>
      <c r="M32" s="6">
        <v>-24221.4</v>
      </c>
      <c r="N32" s="41">
        <v>219.13</v>
      </c>
      <c r="O32" s="41">
        <f t="shared" si="2"/>
        <v>-24002.27</v>
      </c>
      <c r="P32" s="41">
        <v>0</v>
      </c>
      <c r="Q32" s="41"/>
      <c r="R32" s="41"/>
      <c r="U32" s="11"/>
      <c r="V32" s="14"/>
      <c r="W32" s="29"/>
      <c r="Y32" s="15"/>
    </row>
    <row r="33" ht="12.75" spans="1:25">
      <c r="A33" s="12" t="str">
        <f>IFERROR(__xludf.DUMMYFUNCTION("""COMPUTED_VALUE"""),"BDIF11")</f>
        <v>BDIF11</v>
      </c>
      <c r="B33" s="12">
        <f>IFERROR(__xludf.DUMMYFUNCTION("""COMPUTED_VALUE"""),10)</f>
        <v>10</v>
      </c>
      <c r="C33" s="26">
        <f>IFERROR(__xludf.DUMMYFUNCTION("""COMPUTED_VALUE"""),891.869999999999)</f>
        <v>891.869999999999</v>
      </c>
      <c r="D33" s="27">
        <f>IFERROR(__xludf.DUMMYFUNCTION("""COMPUTED_VALUE"""),45484)</f>
        <v>45484</v>
      </c>
      <c r="F33" s="12" t="s">
        <v>30</v>
      </c>
      <c r="G33" s="14">
        <f>SUMPRODUCT(($A$2:$A1000=F33)*($C$2:$C1000&gt;0)*$C$2:$C1000)/SUMPRODUCT(($A$2:$A1000=F33)*($B$2:$B1000&gt;0)*$B$2:$B1000)</f>
        <v>97.7171503881062</v>
      </c>
      <c r="I33" s="12"/>
      <c r="J33" s="34"/>
      <c r="K33" s="31"/>
      <c r="L33" s="38">
        <v>5</v>
      </c>
      <c r="M33" s="39">
        <v>-1990.23</v>
      </c>
      <c r="N33" s="40">
        <v>230.11</v>
      </c>
      <c r="O33" s="40">
        <f t="shared" si="2"/>
        <v>-1760.12</v>
      </c>
      <c r="P33" s="40">
        <v>0</v>
      </c>
      <c r="Q33" s="40"/>
      <c r="R33" s="40"/>
      <c r="U33" s="11"/>
      <c r="V33" s="14"/>
      <c r="W33" s="29"/>
      <c r="Y33" s="15"/>
    </row>
    <row r="34" ht="12.75" spans="1:25">
      <c r="A34" s="12" t="str">
        <f>IFERROR(__xludf.DUMMYFUNCTION("""COMPUTED_VALUE"""),"VGHF11")</f>
        <v>VGHF11</v>
      </c>
      <c r="B34" s="12">
        <f>IFERROR(__xludf.DUMMYFUNCTION("""COMPUTED_VALUE"""),100)</f>
        <v>100</v>
      </c>
      <c r="C34" s="26">
        <f>IFERROR(__xludf.DUMMYFUNCTION("""COMPUTED_VALUE"""),869.265)</f>
        <v>869.265</v>
      </c>
      <c r="D34" s="27">
        <f>IFERROR(__xludf.DUMMYFUNCTION("""COMPUTED_VALUE"""),45476)</f>
        <v>45476</v>
      </c>
      <c r="F34" s="12" t="s">
        <v>42</v>
      </c>
      <c r="G34" s="14">
        <f>SUMPRODUCT(($A$2:$A1001=F34)*($C$2:$C1001&gt;0)*$C$2:$C1001)/SUMPRODUCT(($A$2:$A1001=F34)*($B$2:$B1001&gt;0)*$B$2:$B1001)</f>
        <v>91.357</v>
      </c>
      <c r="I34" s="12"/>
      <c r="J34" s="34"/>
      <c r="K34" s="31"/>
      <c r="L34" s="4">
        <v>6</v>
      </c>
      <c r="M34" s="6">
        <v>0</v>
      </c>
      <c r="N34" s="41">
        <v>230.22</v>
      </c>
      <c r="O34" s="41">
        <f t="shared" si="2"/>
        <v>230.22</v>
      </c>
      <c r="P34" s="41">
        <v>0</v>
      </c>
      <c r="Q34" s="41"/>
      <c r="R34" s="41"/>
      <c r="U34" s="11"/>
      <c r="V34" s="15"/>
      <c r="W34" s="29"/>
      <c r="Y34" s="15"/>
    </row>
    <row r="35" ht="12.75" spans="1:25">
      <c r="A35" s="12" t="str">
        <f>IFERROR(__xludf.DUMMYFUNCTION("""COMPUTED_VALUE"""),"RECR11")</f>
        <v>RECR11</v>
      </c>
      <c r="B35" s="12">
        <f>IFERROR(__xludf.DUMMYFUNCTION("""COMPUTED_VALUE"""),10)</f>
        <v>10</v>
      </c>
      <c r="C35" s="26">
        <f>IFERROR(__xludf.DUMMYFUNCTION("""COMPUTED_VALUE"""),849.765)</f>
        <v>849.765</v>
      </c>
      <c r="D35" s="27">
        <f>IFERROR(__xludf.DUMMYFUNCTION("""COMPUTED_VALUE"""),45476)</f>
        <v>45476</v>
      </c>
      <c r="F35" s="12" t="s">
        <v>37</v>
      </c>
      <c r="G35" s="14">
        <f>SUMPRODUCT(($A$2:$A$150=F35)*($C$2:$C$150&gt;0)*$C$2:$C$150)/SUMPRODUCT(($A$2:$A$150=F35)*($B$2:$B$150&gt;0)*$B$2:$B$150)</f>
        <v>177.5125</v>
      </c>
      <c r="H35" s="28"/>
      <c r="I35" s="12"/>
      <c r="J35" s="34"/>
      <c r="K35" s="31"/>
      <c r="L35" s="38">
        <v>7</v>
      </c>
      <c r="M35" s="39">
        <v>0</v>
      </c>
      <c r="N35" s="40">
        <v>251.19</v>
      </c>
      <c r="O35" s="40">
        <f t="shared" si="2"/>
        <v>251.19</v>
      </c>
      <c r="P35" s="40">
        <v>0</v>
      </c>
      <c r="Q35" s="40"/>
      <c r="R35" s="40"/>
      <c r="U35" s="11"/>
      <c r="V35" s="14"/>
      <c r="W35" s="29"/>
      <c r="Y35" s="15"/>
    </row>
    <row r="36" ht="12.75" spans="1:25">
      <c r="A36" s="12" t="str">
        <f>IFERROR(__xludf.DUMMYFUNCTION("""COMPUTED_VALUE"""),"BTLG11")</f>
        <v>BTLG11</v>
      </c>
      <c r="B36" s="12">
        <f>IFERROR(__xludf.DUMMYFUNCTION("""COMPUTED_VALUE"""),10)</f>
        <v>10</v>
      </c>
      <c r="C36" s="26">
        <f>IFERROR(__xludf.DUMMYFUNCTION("""COMPUTED_VALUE"""),970.314999999999)</f>
        <v>970.314999999999</v>
      </c>
      <c r="D36" s="27">
        <f>IFERROR(__xludf.DUMMYFUNCTION("""COMPUTED_VALUE"""),45461)</f>
        <v>45461</v>
      </c>
      <c r="F36" s="12" t="s">
        <v>25</v>
      </c>
      <c r="G36" s="14">
        <f>SUMPRODUCT(($A$2:$A1000=F36)*($C$2:$C1000&gt;0)*$C$2:$C1000)/SUMPRODUCT(($A$2:$A1000=F36)*($B$2:$B1000&gt;0)*$B$2:$B1000)</f>
        <v>95.3449779460683</v>
      </c>
      <c r="I36" s="12"/>
      <c r="J36" s="34"/>
      <c r="K36" s="31"/>
      <c r="L36" s="4">
        <v>8</v>
      </c>
      <c r="M36" s="6">
        <v>-14034.55</v>
      </c>
      <c r="N36" s="41">
        <v>303.73</v>
      </c>
      <c r="O36" s="41">
        <f t="shared" si="2"/>
        <v>-13730.82</v>
      </c>
      <c r="P36" s="41">
        <v>0</v>
      </c>
      <c r="Q36" s="41"/>
      <c r="R36" s="41"/>
      <c r="U36" s="11"/>
      <c r="V36" s="15"/>
      <c r="W36" s="29"/>
      <c r="Y36" s="15"/>
    </row>
    <row r="37" ht="12.75" spans="1:25">
      <c r="A37" s="12" t="str">
        <f>IFERROR(__xludf.DUMMYFUNCTION("""COMPUTED_VALUE"""),"RZTR11")</f>
        <v>RZTR11</v>
      </c>
      <c r="B37" s="12">
        <f>IFERROR(__xludf.DUMMYFUNCTION("""COMPUTED_VALUE"""),10)</f>
        <v>10</v>
      </c>
      <c r="C37" s="26">
        <f>IFERROR(__xludf.DUMMYFUNCTION("""COMPUTED_VALUE"""),922.295)</f>
        <v>922.295</v>
      </c>
      <c r="D37" s="27">
        <f>IFERROR(__xludf.DUMMYFUNCTION("""COMPUTED_VALUE"""),45461)</f>
        <v>45461</v>
      </c>
      <c r="F37" s="12" t="s">
        <v>38</v>
      </c>
      <c r="G37" s="14">
        <f>SUMPRODUCT(($A$2:$A1001=F37)*($C$2:$C1001&gt;0)*$C$2:$C1001)/SUMPRODUCT(($A$2:$A1001=F37)*($B$2:$B1001&gt;0)*$B$2:$B1001)</f>
        <v>8.69946645624999</v>
      </c>
      <c r="H37" s="29"/>
      <c r="I37" s="12"/>
      <c r="J37" s="34"/>
      <c r="K37" s="31"/>
      <c r="L37" s="38">
        <v>9</v>
      </c>
      <c r="M37" s="39">
        <v>-4161.97</v>
      </c>
      <c r="N37" s="40">
        <v>277.63</v>
      </c>
      <c r="O37" s="40">
        <f t="shared" si="2"/>
        <v>-3884.34</v>
      </c>
      <c r="P37" s="39">
        <v>0</v>
      </c>
      <c r="Q37" s="40"/>
      <c r="R37" s="40"/>
      <c r="U37" s="11"/>
      <c r="V37" s="15"/>
      <c r="W37" s="29"/>
      <c r="Y37" s="15"/>
    </row>
    <row r="38" ht="12.75" spans="1:25">
      <c r="A38" s="12" t="str">
        <f>IFERROR(__xludf.DUMMYFUNCTION("""COMPUTED_VALUE"""),"BARI11")</f>
        <v>BARI11</v>
      </c>
      <c r="B38" s="12">
        <f>IFERROR(__xludf.DUMMYFUNCTION("""COMPUTED_VALUE"""),10)</f>
        <v>10</v>
      </c>
      <c r="C38" s="26">
        <f>IFERROR(__xludf.DUMMYFUNCTION("""COMPUTED_VALUE"""),771.745)</f>
        <v>771.745</v>
      </c>
      <c r="D38" s="27">
        <f>IFERROR(__xludf.DUMMYFUNCTION("""COMPUTED_VALUE"""),45457)</f>
        <v>45457</v>
      </c>
      <c r="F38" s="12" t="s">
        <v>32</v>
      </c>
      <c r="G38" s="14">
        <f>SUMPRODUCT(($A$2:$A1002=F38)*($C$2:$C1002&gt;0)*$C$2:$C1002)/SUMPRODUCT(($A$2:$A1002=F38)*($B$2:$B1002&gt;0)*$B$2:$B1002)</f>
        <v>82.8917235609755</v>
      </c>
      <c r="H38" s="29"/>
      <c r="I38" s="12"/>
      <c r="J38" s="34"/>
      <c r="K38" s="31"/>
      <c r="L38" s="4">
        <v>10</v>
      </c>
      <c r="M38" s="6">
        <v>0</v>
      </c>
      <c r="N38" s="41">
        <v>345.33</v>
      </c>
      <c r="O38" s="41">
        <f t="shared" si="2"/>
        <v>345.33</v>
      </c>
      <c r="P38" s="41">
        <v>-13931.33</v>
      </c>
      <c r="Q38" s="41"/>
      <c r="R38" s="41"/>
      <c r="U38" s="11"/>
      <c r="V38" s="14"/>
      <c r="W38" s="29"/>
      <c r="Y38" s="15"/>
    </row>
    <row r="39" ht="12.75" spans="1:25">
      <c r="A39" s="12" t="str">
        <f>IFERROR(__xludf.DUMMYFUNCTION("""COMPUTED_VALUE"""),"RZAT11")</f>
        <v>RZAT11</v>
      </c>
      <c r="B39" s="12">
        <f>IFERROR(__xludf.DUMMYFUNCTION("""COMPUTED_VALUE"""),10)</f>
        <v>10</v>
      </c>
      <c r="C39" s="26">
        <f>IFERROR(__xludf.DUMMYFUNCTION("""COMPUTED_VALUE"""),944.305)</f>
        <v>944.305</v>
      </c>
      <c r="D39" s="27">
        <f>IFERROR(__xludf.DUMMYFUNCTION("""COMPUTED_VALUE"""),45457)</f>
        <v>45457</v>
      </c>
      <c r="F39" s="12" t="s">
        <v>31</v>
      </c>
      <c r="G39" s="14">
        <f>SUMPRODUCT(($A$2:$A1003=F39)*($C$2:$C1003&gt;0)*$C$2:$C1003)/SUMPRODUCT(($A$2:$A1003=F39)*($B$2:$B1003&gt;0)*$B$2:$B1003)</f>
        <v>86.1253657948717</v>
      </c>
      <c r="H39" s="29"/>
      <c r="I39" s="12"/>
      <c r="J39" s="34"/>
      <c r="K39" s="31"/>
      <c r="L39" s="38">
        <v>11</v>
      </c>
      <c r="M39" s="39">
        <v>0</v>
      </c>
      <c r="N39" s="40">
        <v>606.02</v>
      </c>
      <c r="O39" s="40">
        <f t="shared" si="2"/>
        <v>606.02</v>
      </c>
      <c r="P39" s="40">
        <v>-6651.33</v>
      </c>
      <c r="Q39" s="40"/>
      <c r="R39" s="40"/>
      <c r="U39" s="11"/>
      <c r="V39" s="14"/>
      <c r="W39" s="29"/>
      <c r="Y39" s="15"/>
    </row>
    <row r="40" ht="12.75" spans="1:25">
      <c r="A40" s="12" t="str">
        <f>IFERROR(__xludf.DUMMYFUNCTION("""COMPUTED_VALUE"""),"BDIF11")</f>
        <v>BDIF11</v>
      </c>
      <c r="B40" s="12">
        <f>IFERROR(__xludf.DUMMYFUNCTION("""COMPUTED_VALUE"""),10)</f>
        <v>10</v>
      </c>
      <c r="C40" s="26">
        <f>IFERROR(__xludf.DUMMYFUNCTION("""COMPUTED_VALUE"""),890.969999999999)</f>
        <v>890.969999999999</v>
      </c>
      <c r="D40" s="27">
        <f>IFERROR(__xludf.DUMMYFUNCTION("""COMPUTED_VALUE"""),45457)</f>
        <v>45457</v>
      </c>
      <c r="F40" s="12" t="s">
        <v>43</v>
      </c>
      <c r="G40" s="14">
        <f>SUMPRODUCT(($A$2:$A1004=F40)*($C$2:$C1004&gt;0)*$C$2:$C1004)/SUMPRODUCT(($A$2:$A1004=F40)*($B$2:$B1004&gt;0)*$B$2:$B1004)</f>
        <v>104.485777777778</v>
      </c>
      <c r="H40" s="29"/>
      <c r="I40" s="12"/>
      <c r="J40" s="34"/>
      <c r="K40" s="31"/>
      <c r="L40" s="4">
        <v>12</v>
      </c>
      <c r="M40" s="6">
        <v>-20040.96</v>
      </c>
      <c r="N40" s="41">
        <v>638.34</v>
      </c>
      <c r="O40" s="41">
        <f t="shared" si="2"/>
        <v>-19402.62</v>
      </c>
      <c r="P40" s="41">
        <v>-18457.82</v>
      </c>
      <c r="Q40" s="41"/>
      <c r="R40" s="41"/>
      <c r="U40" s="11"/>
      <c r="V40" s="14"/>
      <c r="W40" s="29"/>
      <c r="Y40" s="15"/>
    </row>
    <row r="41" ht="12.75" spans="1:25">
      <c r="A41" s="12" t="str">
        <f>IFERROR(__xludf.DUMMYFUNCTION("""COMPUTED_VALUE"""),"BDIF11")</f>
        <v>BDIF11</v>
      </c>
      <c r="B41" s="12">
        <f>IFERROR(__xludf.DUMMYFUNCTION("""COMPUTED_VALUE"""),10)</f>
        <v>10</v>
      </c>
      <c r="C41" s="26">
        <f>IFERROR(__xludf.DUMMYFUNCTION("""COMPUTED_VALUE"""),892.27)</f>
        <v>892.27</v>
      </c>
      <c r="D41" s="27">
        <f>IFERROR(__xludf.DUMMYFUNCTION("""COMPUTED_VALUE"""),45454)</f>
        <v>45454</v>
      </c>
      <c r="F41" s="12" t="s">
        <v>40</v>
      </c>
      <c r="G41" s="14">
        <f>SUMPRODUCT(($A$2:$A1005=F41)*($C$2:$C1005&gt;0)*$C$2:$C1005)/SUMPRODUCT(($A$2:$A1005=F41)*($B$2:$B1005&gt;0)*$B$2:$B1005)</f>
        <v>9.21508235294116</v>
      </c>
      <c r="H41" s="29"/>
      <c r="I41" s="12"/>
      <c r="J41" s="34"/>
      <c r="K41" s="31"/>
      <c r="L41" s="38">
        <v>13</v>
      </c>
      <c r="M41" s="39">
        <v>-5108.48</v>
      </c>
      <c r="N41" s="40">
        <v>721.57</v>
      </c>
      <c r="O41" s="40">
        <f t="shared" si="2"/>
        <v>-4386.91</v>
      </c>
      <c r="P41" s="40">
        <v>42969.42</v>
      </c>
      <c r="Q41" s="40"/>
      <c r="R41" s="40"/>
      <c r="V41" s="15"/>
      <c r="W41" s="29"/>
      <c r="Y41" s="15"/>
    </row>
    <row r="42" ht="12.75" spans="1:25">
      <c r="A42" s="12" t="str">
        <f>IFERROR(__xludf.DUMMYFUNCTION("""COMPUTED_VALUE"""),"RZAT11")</f>
        <v>RZAT11</v>
      </c>
      <c r="B42" s="12">
        <f>IFERROR(__xludf.DUMMYFUNCTION("""COMPUTED_VALUE"""),10)</f>
        <v>10</v>
      </c>
      <c r="C42" s="26">
        <f>IFERROR(__xludf.DUMMYFUNCTION("""COMPUTED_VALUE"""),948.4)</f>
        <v>948.4</v>
      </c>
      <c r="D42" s="27">
        <f>IFERROR(__xludf.DUMMYFUNCTION("""COMPUTED_VALUE"""),45454)</f>
        <v>45454</v>
      </c>
      <c r="F42" s="12" t="s">
        <v>36</v>
      </c>
      <c r="G42" s="14">
        <f>SUMPRODUCT(($A$2:$A1006=F42)*($C$2:$C1006&gt;0)*$C$2:$C1006)/SUMPRODUCT(($A$2:$A1006=F42)*($B$2:$B1006&gt;0)*$B$2:$B1006)</f>
        <v>88.7564432432432</v>
      </c>
      <c r="H42" s="29"/>
      <c r="I42" s="12"/>
      <c r="J42" s="34"/>
      <c r="K42" s="34"/>
      <c r="L42" s="4">
        <v>14</v>
      </c>
      <c r="M42" s="6">
        <v>98107.94</v>
      </c>
      <c r="N42" s="41">
        <v>0</v>
      </c>
      <c r="O42" s="41">
        <f t="shared" si="2"/>
        <v>98107.94</v>
      </c>
      <c r="P42" s="41"/>
      <c r="Q42" s="41"/>
      <c r="R42" s="41"/>
      <c r="V42" s="15"/>
      <c r="W42" s="29"/>
      <c r="Y42" s="15"/>
    </row>
    <row r="43" ht="12.75" spans="1:25">
      <c r="A43" s="12" t="str">
        <f>IFERROR(__xludf.DUMMYFUNCTION("""COMPUTED_VALUE"""),"VGHF11")</f>
        <v>VGHF11</v>
      </c>
      <c r="B43" s="12">
        <f>IFERROR(__xludf.DUMMYFUNCTION("""COMPUTED_VALUE"""),100)</f>
        <v>100</v>
      </c>
      <c r="C43" s="26">
        <f>IFERROR(__xludf.DUMMYFUNCTION("""COMPUTED_VALUE"""),890.27333)</f>
        <v>890.27333</v>
      </c>
      <c r="D43" s="27">
        <f>IFERROR(__xludf.DUMMYFUNCTION("""COMPUTED_VALUE"""),45443)</f>
        <v>45443</v>
      </c>
      <c r="F43" s="12" t="s">
        <v>41</v>
      </c>
      <c r="G43" s="14">
        <f>SUMPRODUCT(($A$2:$A1007=F43)*($C$2:$C1007&gt;0)*$C$2:$C1007)/SUMPRODUCT(($A$2:$A1007=F43)*($B$2:$B1007&gt;0)*$B$2:$B1007)</f>
        <v>90.9168285714286</v>
      </c>
      <c r="H43" s="29"/>
      <c r="I43" s="12"/>
      <c r="J43" s="34"/>
      <c r="L43" s="42"/>
      <c r="M43" s="43"/>
      <c r="N43" s="40"/>
      <c r="O43" s="44"/>
      <c r="P43" s="44"/>
      <c r="Q43" s="44"/>
      <c r="R43" s="44"/>
      <c r="U43" s="62"/>
      <c r="V43" s="69"/>
      <c r="W43" s="63"/>
      <c r="X43" s="69"/>
      <c r="Y43" s="69"/>
    </row>
    <row r="44" ht="12.75" spans="1:18">
      <c r="A44" s="12" t="str">
        <f>IFERROR(__xludf.DUMMYFUNCTION("""COMPUTED_VALUE"""),"HSAF11")</f>
        <v>HSAF11</v>
      </c>
      <c r="B44" s="12">
        <f>IFERROR(__xludf.DUMMYFUNCTION("""COMPUTED_VALUE"""),10)</f>
        <v>10</v>
      </c>
      <c r="C44" s="26">
        <f>IFERROR(__xludf.DUMMYFUNCTION("""COMPUTED_VALUE"""),859.16333)</f>
        <v>859.16333</v>
      </c>
      <c r="D44" s="27">
        <f>IFERROR(__xludf.DUMMYFUNCTION("""COMPUTED_VALUE"""),45443)</f>
        <v>45443</v>
      </c>
      <c r="H44" s="29"/>
      <c r="I44" s="12"/>
      <c r="J44" s="34"/>
      <c r="L44" s="45"/>
      <c r="M44" s="19"/>
      <c r="N44" s="46"/>
      <c r="O44" s="4"/>
      <c r="P44" s="4"/>
      <c r="Q44" s="4"/>
      <c r="R44" s="4"/>
    </row>
    <row r="45" ht="12.75" spans="1:18">
      <c r="A45" s="12" t="str">
        <f>IFERROR(__xludf.DUMMYFUNCTION("""COMPUTED_VALUE"""),"BARI11")</f>
        <v>BARI11</v>
      </c>
      <c r="B45" s="12">
        <f>IFERROR(__xludf.DUMMYFUNCTION("""COMPUTED_VALUE"""),10)</f>
        <v>10</v>
      </c>
      <c r="C45" s="26">
        <f>IFERROR(__xludf.DUMMYFUNCTION("""COMPUTED_VALUE"""),809.15333)</f>
        <v>809.15333</v>
      </c>
      <c r="D45" s="27">
        <f>IFERROR(__xludf.DUMMYFUNCTION("""COMPUTED_VALUE"""),45443)</f>
        <v>45443</v>
      </c>
      <c r="H45" s="29"/>
      <c r="I45" s="12"/>
      <c r="J45" s="34"/>
      <c r="L45" s="47" t="s">
        <v>279</v>
      </c>
      <c r="M45" s="48">
        <f>IRR(M29:M42)</f>
        <v>0.0249744259495233</v>
      </c>
      <c r="N45" s="48"/>
      <c r="O45" s="48">
        <f>IRR(O29:O42)</f>
        <v>0.0313721669879496</v>
      </c>
      <c r="P45" s="49">
        <f>IRR(P29:P41)</f>
        <v>0.0516333911045417</v>
      </c>
      <c r="Q45" s="70"/>
      <c r="R45" s="70"/>
    </row>
    <row r="46" ht="12.75" spans="1:18">
      <c r="A46" s="12" t="str">
        <f>IFERROR(__xludf.DUMMYFUNCTION("""COMPUTED_VALUE"""),"BDIF11")</f>
        <v>BDIF11</v>
      </c>
      <c r="B46" s="12">
        <f>IFERROR(__xludf.DUMMYFUNCTION("""COMPUTED_VALUE"""),10)</f>
        <v>10</v>
      </c>
      <c r="C46" s="26">
        <f>IFERROR(__xludf.DUMMYFUNCTION("""COMPUTED_VALUE"""),894.77)</f>
        <v>894.77</v>
      </c>
      <c r="D46" s="27">
        <f>IFERROR(__xludf.DUMMYFUNCTION("""COMPUTED_VALUE"""),45447)</f>
        <v>45447</v>
      </c>
      <c r="H46" s="29"/>
      <c r="I46" s="12"/>
      <c r="J46" s="34"/>
      <c r="L46" s="50" t="s">
        <v>280</v>
      </c>
      <c r="M46" s="51">
        <f>((1+M45)^12)-1</f>
        <v>0.344486215052983</v>
      </c>
      <c r="N46" s="51"/>
      <c r="O46" s="51">
        <f t="shared" ref="O46:P46" si="3">((1+O45)^12)-1</f>
        <v>0.448721436188136</v>
      </c>
      <c r="P46" s="51">
        <f t="shared" si="3"/>
        <v>0.829668480850316</v>
      </c>
      <c r="Q46" s="71"/>
      <c r="R46" s="71"/>
    </row>
    <row r="47" ht="12.75" spans="1:24">
      <c r="A47" s="12" t="str">
        <f>IFERROR(__xludf.DUMMYFUNCTION("""COMPUTED_VALUE"""),"VGHF11")</f>
        <v>VGHF11</v>
      </c>
      <c r="B47" s="12">
        <f>IFERROR(__xludf.DUMMYFUNCTION("""COMPUTED_VALUE"""),100)</f>
        <v>100</v>
      </c>
      <c r="C47" s="26">
        <f>IFERROR(__xludf.DUMMYFUNCTION("""COMPUTED_VALUE"""),885.27)</f>
        <v>885.27</v>
      </c>
      <c r="D47" s="27">
        <f>IFERROR(__xludf.DUMMYFUNCTION("""COMPUTED_VALUE"""),45439)</f>
        <v>45439</v>
      </c>
      <c r="H47" s="29"/>
      <c r="I47" s="12"/>
      <c r="J47" s="34"/>
      <c r="L47" s="47"/>
      <c r="M47" s="48"/>
      <c r="N47" s="52"/>
      <c r="O47" s="53"/>
      <c r="P47" s="52"/>
      <c r="Q47" s="52"/>
      <c r="R47" s="52"/>
      <c r="W47" s="29"/>
      <c r="X47" s="15"/>
    </row>
    <row r="48" ht="12.75" spans="1:24">
      <c r="A48" s="12" t="str">
        <f>IFERROR(__xludf.DUMMYFUNCTION("""COMPUTED_VALUE"""),"BDIF11")</f>
        <v>BDIF11</v>
      </c>
      <c r="B48" s="12">
        <f>IFERROR(__xludf.DUMMYFUNCTION("""COMPUTED_VALUE"""),10)</f>
        <v>10</v>
      </c>
      <c r="C48" s="26">
        <f>IFERROR(__xludf.DUMMYFUNCTION("""COMPUTED_VALUE"""),898.77)</f>
        <v>898.77</v>
      </c>
      <c r="D48" s="27">
        <f>IFERROR(__xludf.DUMMYFUNCTION("""COMPUTED_VALUE"""),45433)</f>
        <v>45433</v>
      </c>
      <c r="H48" s="29"/>
      <c r="I48" s="12"/>
      <c r="J48" s="34"/>
      <c r="N48" s="12"/>
      <c r="O48" s="12"/>
      <c r="V48" s="14"/>
      <c r="X48" s="15"/>
    </row>
    <row r="49" ht="12.75" spans="1:15">
      <c r="A49" s="12" t="str">
        <f>IFERROR(__xludf.DUMMYFUNCTION("""COMPUTED_VALUE"""),"VGHF11")</f>
        <v>VGHF11</v>
      </c>
      <c r="B49" s="12">
        <f>IFERROR(__xludf.DUMMYFUNCTION("""COMPUTED_VALUE"""),100)</f>
        <v>100</v>
      </c>
      <c r="C49" s="26">
        <f>IFERROR(__xludf.DUMMYFUNCTION("""COMPUTED_VALUE"""),889.27)</f>
        <v>889.27</v>
      </c>
      <c r="D49" s="27">
        <f>IFERROR(__xludf.DUMMYFUNCTION("""COMPUTED_VALUE"""),45432)</f>
        <v>45432</v>
      </c>
      <c r="H49" s="29"/>
      <c r="I49" s="12"/>
      <c r="J49" s="34"/>
      <c r="N49" s="12"/>
      <c r="O49" s="12"/>
    </row>
    <row r="50" ht="12.75" spans="1:15">
      <c r="A50" s="12" t="str">
        <f>IFERROR(__xludf.DUMMYFUNCTION("""COMPUTED_VALUE"""),"BDIF11")</f>
        <v>BDIF11</v>
      </c>
      <c r="B50" s="12">
        <f>IFERROR(__xludf.DUMMYFUNCTION("""COMPUTED_VALUE"""),10)</f>
        <v>10</v>
      </c>
      <c r="C50" s="26">
        <f>IFERROR(__xludf.DUMMYFUNCTION("""COMPUTED_VALUE"""),898.27)</f>
        <v>898.27</v>
      </c>
      <c r="D50" s="27">
        <f>IFERROR(__xludf.DUMMYFUNCTION("""COMPUTED_VALUE"""),45427)</f>
        <v>45427</v>
      </c>
      <c r="H50" s="29"/>
      <c r="I50" s="12"/>
      <c r="J50" s="34"/>
      <c r="N50" s="12"/>
      <c r="O50" s="12"/>
    </row>
    <row r="51" ht="12.75" spans="1:15">
      <c r="A51" s="12" t="str">
        <f>IFERROR(__xludf.DUMMYFUNCTION("""COMPUTED_VALUE"""),"BIDB11")</f>
        <v>BIDB11</v>
      </c>
      <c r="B51" s="12">
        <f>IFERROR(__xludf.DUMMYFUNCTION("""COMPUTED_VALUE"""),10)</f>
        <v>10</v>
      </c>
      <c r="C51" s="26">
        <f>IFERROR(__xludf.DUMMYFUNCTION("""COMPUTED_VALUE"""),905.273)</f>
        <v>905.273</v>
      </c>
      <c r="D51" s="27">
        <f>IFERROR(__xludf.DUMMYFUNCTION("""COMPUTED_VALUE"""),45425)</f>
        <v>45425</v>
      </c>
      <c r="H51" s="29"/>
      <c r="I51" s="12"/>
      <c r="J51" s="34"/>
      <c r="N51" s="12"/>
      <c r="O51" s="12"/>
    </row>
    <row r="52" ht="12.75" spans="1:15">
      <c r="A52" s="12" t="str">
        <f>IFERROR(__xludf.DUMMYFUNCTION("""COMPUTED_VALUE"""),"BDIF11")</f>
        <v>BDIF11</v>
      </c>
      <c r="B52" s="12">
        <f>IFERROR(__xludf.DUMMYFUNCTION("""COMPUTED_VALUE"""),20)</f>
        <v>20</v>
      </c>
      <c r="C52" s="26">
        <f>IFERROR(__xludf.DUMMYFUNCTION("""COMPUTED_VALUE"""),1801.167)</f>
        <v>1801.167</v>
      </c>
      <c r="D52" s="27">
        <f>IFERROR(__xludf.DUMMYFUNCTION("""COMPUTED_VALUE"""),45425)</f>
        <v>45425</v>
      </c>
      <c r="H52" s="29"/>
      <c r="I52" s="12"/>
      <c r="J52" s="34"/>
      <c r="N52" s="12"/>
      <c r="O52" s="12"/>
    </row>
    <row r="53" ht="12.75" spans="1:15">
      <c r="A53" s="12" t="str">
        <f>IFERROR(__xludf.DUMMYFUNCTION("""COMPUTED_VALUE"""),"HCTR11")</f>
        <v>HCTR11</v>
      </c>
      <c r="B53" s="12">
        <f>IFERROR(__xludf.DUMMYFUNCTION("""COMPUTED_VALUE"""),-100)</f>
        <v>-100</v>
      </c>
      <c r="C53" s="26">
        <f>IFERROR(__xludf.DUMMYFUNCTION("""COMPUTED_VALUE"""),-3158)</f>
        <v>-3158</v>
      </c>
      <c r="D53" s="27">
        <f>IFERROR(__xludf.DUMMYFUNCTION("""COMPUTED_VALUE"""),45425)</f>
        <v>45425</v>
      </c>
      <c r="H53" s="29"/>
      <c r="I53" s="12"/>
      <c r="J53" s="34"/>
      <c r="N53" s="12"/>
      <c r="O53" s="12"/>
    </row>
    <row r="54" ht="12.75" spans="1:15">
      <c r="A54" s="12" t="str">
        <f>IFERROR(__xludf.DUMMYFUNCTION("""COMPUTED_VALUE"""),"BDIF11")</f>
        <v>BDIF11</v>
      </c>
      <c r="B54" s="12">
        <f>IFERROR(__xludf.DUMMYFUNCTION("""COMPUTED_VALUE"""),10)</f>
        <v>10</v>
      </c>
      <c r="C54" s="26">
        <f>IFERROR(__xludf.DUMMYFUNCTION("""COMPUTED_VALUE"""),900.37)</f>
        <v>900.37</v>
      </c>
      <c r="D54" s="27">
        <f>IFERROR(__xludf.DUMMYFUNCTION("""COMPUTED_VALUE"""),45422)</f>
        <v>45422</v>
      </c>
      <c r="H54" s="29"/>
      <c r="I54" s="12"/>
      <c r="J54" s="34"/>
      <c r="N54" s="12"/>
      <c r="O54" s="12"/>
    </row>
    <row r="55" ht="12.75" spans="1:15">
      <c r="A55" s="12" t="str">
        <f>IFERROR(__xludf.DUMMYFUNCTION("""COMPUTED_VALUE"""),"BDIF11")</f>
        <v>BDIF11</v>
      </c>
      <c r="B55" s="12">
        <f>IFERROR(__xludf.DUMMYFUNCTION("""COMPUTED_VALUE"""),10)</f>
        <v>10</v>
      </c>
      <c r="C55" s="26">
        <f>IFERROR(__xludf.DUMMYFUNCTION("""COMPUTED_VALUE"""),904.369999999999)</f>
        <v>904.369999999999</v>
      </c>
      <c r="D55" s="27">
        <f>IFERROR(__xludf.DUMMYFUNCTION("""COMPUTED_VALUE"""),45421)</f>
        <v>45421</v>
      </c>
      <c r="H55" s="29"/>
      <c r="I55" s="12"/>
      <c r="J55" s="34"/>
      <c r="N55" s="12"/>
      <c r="O55" s="12"/>
    </row>
    <row r="56" ht="12.75" spans="1:15">
      <c r="A56" s="12" t="str">
        <f>IFERROR(__xludf.DUMMYFUNCTION("""COMPUTED_VALUE"""),"BIDB11")</f>
        <v>BIDB11</v>
      </c>
      <c r="B56" s="12">
        <f>IFERROR(__xludf.DUMMYFUNCTION("""COMPUTED_VALUE"""),10)</f>
        <v>10</v>
      </c>
      <c r="C56" s="26">
        <f>IFERROR(__xludf.DUMMYFUNCTION("""COMPUTED_VALUE"""),899.26)</f>
        <v>899.26</v>
      </c>
      <c r="D56" s="27">
        <f>IFERROR(__xludf.DUMMYFUNCTION("""COMPUTED_VALUE"""),45414)</f>
        <v>45414</v>
      </c>
      <c r="H56" s="29"/>
      <c r="I56" s="12"/>
      <c r="J56" s="34"/>
      <c r="N56" s="12"/>
      <c r="O56" s="12"/>
    </row>
    <row r="57" ht="12.75" spans="1:15">
      <c r="A57" s="12" t="str">
        <f>IFERROR(__xludf.DUMMYFUNCTION("""COMPUTED_VALUE"""),"VGHF11")</f>
        <v>VGHF11</v>
      </c>
      <c r="B57" s="12">
        <f>IFERROR(__xludf.DUMMYFUNCTION("""COMPUTED_VALUE"""),100)</f>
        <v>100</v>
      </c>
      <c r="C57" s="26">
        <f>IFERROR(__xludf.DUMMYFUNCTION("""COMPUTED_VALUE"""),870.249999999999)</f>
        <v>870.249999999999</v>
      </c>
      <c r="D57" s="27">
        <f>IFERROR(__xludf.DUMMYFUNCTION("""COMPUTED_VALUE"""),45400)</f>
        <v>45400</v>
      </c>
      <c r="H57" s="29"/>
      <c r="I57" s="12"/>
      <c r="J57" s="34"/>
      <c r="N57" s="12"/>
      <c r="O57" s="12"/>
    </row>
    <row r="58" ht="12.75" spans="1:15">
      <c r="A58" s="12" t="str">
        <f>IFERROR(__xludf.DUMMYFUNCTION("""COMPUTED_VALUE"""),"BARI11")</f>
        <v>BARI11</v>
      </c>
      <c r="B58" s="12">
        <f>IFERROR(__xludf.DUMMYFUNCTION("""COMPUTED_VALUE"""),10)</f>
        <v>10</v>
      </c>
      <c r="C58" s="26">
        <f>IFERROR(__xludf.DUMMYFUNCTION("""COMPUTED_VALUE"""),828.24)</f>
        <v>828.24</v>
      </c>
      <c r="D58" s="27">
        <f>IFERROR(__xludf.DUMMYFUNCTION("""COMPUTED_VALUE"""),45394)</f>
        <v>45394</v>
      </c>
      <c r="H58" s="29"/>
      <c r="I58" s="12"/>
      <c r="J58" s="34"/>
      <c r="N58" s="12"/>
      <c r="O58" s="12"/>
    </row>
    <row r="59" ht="12.75" spans="1:15">
      <c r="A59" s="12" t="str">
        <f>IFERROR(__xludf.DUMMYFUNCTION("""COMPUTED_VALUE"""),"BIDB11")</f>
        <v>BIDB11</v>
      </c>
      <c r="B59" s="12">
        <f>IFERROR(__xludf.DUMMYFUNCTION("""COMPUTED_VALUE"""),10)</f>
        <v>10</v>
      </c>
      <c r="C59" s="26">
        <f>IFERROR(__xludf.DUMMYFUNCTION("""COMPUTED_VALUE"""),915.77)</f>
        <v>915.77</v>
      </c>
      <c r="D59" s="27">
        <f>IFERROR(__xludf.DUMMYFUNCTION("""COMPUTED_VALUE"""),45394)</f>
        <v>45394</v>
      </c>
      <c r="H59" s="29"/>
      <c r="I59" s="12"/>
      <c r="J59" s="34"/>
      <c r="N59" s="12"/>
      <c r="O59" s="12"/>
    </row>
    <row r="60" ht="12.75" spans="1:15">
      <c r="A60" s="12" t="str">
        <f>IFERROR(__xludf.DUMMYFUNCTION("""COMPUTED_VALUE"""),"BIDB11")</f>
        <v>BIDB11</v>
      </c>
      <c r="B60" s="12">
        <f>IFERROR(__xludf.DUMMYFUNCTION("""COMPUTED_VALUE"""),10)</f>
        <v>10</v>
      </c>
      <c r="C60" s="26">
        <f>IFERROR(__xludf.DUMMYFUNCTION("""COMPUTED_VALUE"""),916.76)</f>
        <v>916.76</v>
      </c>
      <c r="D60" s="27">
        <f>IFERROR(__xludf.DUMMYFUNCTION("""COMPUTED_VALUE"""),45393)</f>
        <v>45393</v>
      </c>
      <c r="H60" s="29"/>
      <c r="I60" s="12"/>
      <c r="J60" s="34"/>
      <c r="N60" s="12"/>
      <c r="O60" s="12"/>
    </row>
    <row r="61" ht="12.75" spans="1:15">
      <c r="A61" s="12" t="str">
        <f>IFERROR(__xludf.DUMMYFUNCTION("""COMPUTED_VALUE"""),"VGHF11")</f>
        <v>VGHF11</v>
      </c>
      <c r="B61" s="12">
        <f>IFERROR(__xludf.DUMMYFUNCTION("""COMPUTED_VALUE"""),50)</f>
        <v>50</v>
      </c>
      <c r="C61" s="26">
        <f>IFERROR(__xludf.DUMMYFUNCTION("""COMPUTED_VALUE"""),455.13)</f>
        <v>455.13</v>
      </c>
      <c r="D61" s="27">
        <f>IFERROR(__xludf.DUMMYFUNCTION("""COMPUTED_VALUE"""),45391)</f>
        <v>45391</v>
      </c>
      <c r="H61" s="29"/>
      <c r="I61" s="12"/>
      <c r="J61" s="34"/>
      <c r="N61" s="12"/>
      <c r="O61" s="12"/>
    </row>
    <row r="62" ht="12.75" spans="1:15">
      <c r="A62" s="12" t="str">
        <f>IFERROR(__xludf.DUMMYFUNCTION("""COMPUTED_VALUE"""),"BIDB11")</f>
        <v>BIDB11</v>
      </c>
      <c r="B62" s="12">
        <f>IFERROR(__xludf.DUMMYFUNCTION("""COMPUTED_VALUE"""),10)</f>
        <v>10</v>
      </c>
      <c r="C62" s="26">
        <f>IFERROR(__xludf.DUMMYFUNCTION("""COMPUTED_VALUE"""),922.07)</f>
        <v>922.07</v>
      </c>
      <c r="D62" s="27">
        <f>IFERROR(__xludf.DUMMYFUNCTION("""COMPUTED_VALUE"""),45391)</f>
        <v>45391</v>
      </c>
      <c r="H62" s="29"/>
      <c r="I62" s="12"/>
      <c r="J62" s="34"/>
      <c r="N62" s="12"/>
      <c r="O62" s="12"/>
    </row>
    <row r="63" ht="12.75" spans="1:15">
      <c r="A63" s="12" t="str">
        <f>IFERROR(__xludf.DUMMYFUNCTION("""COMPUTED_VALUE"""),"VGHF11")</f>
        <v>VGHF11</v>
      </c>
      <c r="B63" s="12">
        <f>IFERROR(__xludf.DUMMYFUNCTION("""COMPUTED_VALUE"""),100)</f>
        <v>100</v>
      </c>
      <c r="C63" s="26">
        <f>IFERROR(__xludf.DUMMYFUNCTION("""COMPUTED_VALUE"""),910.26)</f>
        <v>910.26</v>
      </c>
      <c r="D63" s="27">
        <f>IFERROR(__xludf.DUMMYFUNCTION("""COMPUTED_VALUE"""),45387)</f>
        <v>45387</v>
      </c>
      <c r="H63" s="29"/>
      <c r="I63" s="12"/>
      <c r="J63" s="34"/>
      <c r="N63" s="12"/>
      <c r="O63" s="12"/>
    </row>
    <row r="64" ht="12.75" spans="1:15">
      <c r="A64" s="12" t="str">
        <f>IFERROR(__xludf.DUMMYFUNCTION("""COMPUTED_VALUE"""),"BODB11")</f>
        <v>BODB11</v>
      </c>
      <c r="B64" s="12">
        <f>IFERROR(__xludf.DUMMYFUNCTION("""COMPUTED_VALUE"""),100)</f>
        <v>100</v>
      </c>
      <c r="C64" s="26">
        <f>IFERROR(__xludf.DUMMYFUNCTION("""COMPUTED_VALUE"""),932.29)</f>
        <v>932.29</v>
      </c>
      <c r="D64" s="27">
        <f>IFERROR(__xludf.DUMMYFUNCTION("""COMPUTED_VALUE"""),45383)</f>
        <v>45383</v>
      </c>
      <c r="H64" s="29"/>
      <c r="I64" s="12"/>
      <c r="J64" s="34"/>
      <c r="N64" s="12"/>
      <c r="O64" s="12"/>
    </row>
    <row r="65" ht="12.75" spans="1:15">
      <c r="A65" s="12" t="str">
        <f>IFERROR(__xludf.DUMMYFUNCTION("""COMPUTED_VALUE"""),"VGHF11")</f>
        <v>VGHF11</v>
      </c>
      <c r="B65" s="12">
        <f>IFERROR(__xludf.DUMMYFUNCTION("""COMPUTED_VALUE"""),100)</f>
        <v>100</v>
      </c>
      <c r="C65" s="26">
        <f>IFERROR(__xludf.DUMMYFUNCTION("""COMPUTED_VALUE"""),916.26)</f>
        <v>916.26</v>
      </c>
      <c r="D65" s="27">
        <f>IFERROR(__xludf.DUMMYFUNCTION("""COMPUTED_VALUE"""),45383)</f>
        <v>45383</v>
      </c>
      <c r="H65" s="29"/>
      <c r="I65" s="12"/>
      <c r="J65" s="34"/>
      <c r="N65" s="12"/>
      <c r="O65" s="12"/>
    </row>
    <row r="66" ht="12.75" spans="1:15">
      <c r="A66" s="12" t="str">
        <f>IFERROR(__xludf.DUMMYFUNCTION("""COMPUTED_VALUE"""),"BODB11")</f>
        <v>BODB11</v>
      </c>
      <c r="B66" s="12">
        <f>IFERROR(__xludf.DUMMYFUNCTION("""COMPUTED_VALUE"""),100)</f>
        <v>100</v>
      </c>
      <c r="C66" s="26">
        <f>IFERROR(__xludf.DUMMYFUNCTION("""COMPUTED_VALUE"""),940.27)</f>
        <v>940.27</v>
      </c>
      <c r="D66" s="27">
        <f>IFERROR(__xludf.DUMMYFUNCTION("""COMPUTED_VALUE"""),45379)</f>
        <v>45379</v>
      </c>
      <c r="H66" s="29"/>
      <c r="I66" s="12"/>
      <c r="J66" s="34"/>
      <c r="N66" s="12"/>
      <c r="O66" s="12"/>
    </row>
    <row r="67" ht="12.75" spans="1:15">
      <c r="A67" s="12" t="str">
        <f>IFERROR(__xludf.DUMMYFUNCTION("""COMPUTED_VALUE"""),"JURO11")</f>
        <v>JURO11</v>
      </c>
      <c r="B67" s="12">
        <f>IFERROR(__xludf.DUMMYFUNCTION("""COMPUTED_VALUE"""),10)</f>
        <v>10</v>
      </c>
      <c r="C67" s="26">
        <f>IFERROR(__xludf.DUMMYFUNCTION("""COMPUTED_VALUE"""),1058.31)</f>
        <v>1058.31</v>
      </c>
      <c r="D67" s="27">
        <f>IFERROR(__xludf.DUMMYFUNCTION("""COMPUTED_VALUE"""),45370)</f>
        <v>45370</v>
      </c>
      <c r="H67" s="29"/>
      <c r="I67" s="12"/>
      <c r="J67" s="34"/>
      <c r="N67" s="12"/>
      <c r="O67" s="12"/>
    </row>
    <row r="68" ht="12.75" spans="1:15">
      <c r="A68" s="12" t="str">
        <f>IFERROR(__xludf.DUMMYFUNCTION("""COMPUTED_VALUE"""),"RZTR11")</f>
        <v>RZTR11</v>
      </c>
      <c r="B68" s="12">
        <f>IFERROR(__xludf.DUMMYFUNCTION("""COMPUTED_VALUE"""),10)</f>
        <v>10</v>
      </c>
      <c r="C68" s="26">
        <f>IFERROR(__xludf.DUMMYFUNCTION("""COMPUTED_VALUE"""),979.78)</f>
        <v>979.78</v>
      </c>
      <c r="D68" s="27">
        <f>IFERROR(__xludf.DUMMYFUNCTION("""COMPUTED_VALUE"""),45362)</f>
        <v>45362</v>
      </c>
      <c r="H68" s="29"/>
      <c r="I68" s="12"/>
      <c r="J68" s="34"/>
      <c r="N68" s="12"/>
      <c r="O68" s="12"/>
    </row>
    <row r="69" ht="12.75" spans="1:15">
      <c r="A69" s="12" t="str">
        <f>IFERROR(__xludf.DUMMYFUNCTION("""COMPUTED_VALUE"""),"RZAT11")</f>
        <v>RZAT11</v>
      </c>
      <c r="B69" s="12">
        <f>IFERROR(__xludf.DUMMYFUNCTION("""COMPUTED_VALUE"""),10)</f>
        <v>10</v>
      </c>
      <c r="C69" s="26">
        <f>IFERROR(__xludf.DUMMYFUNCTION("""COMPUTED_VALUE"""),958.29)</f>
        <v>958.29</v>
      </c>
      <c r="D69" s="27">
        <f>IFERROR(__xludf.DUMMYFUNCTION("""COMPUTED_VALUE"""),45355)</f>
        <v>45355</v>
      </c>
      <c r="H69" s="29"/>
      <c r="I69" s="12"/>
      <c r="J69" s="34"/>
      <c r="N69" s="12"/>
      <c r="O69" s="12"/>
    </row>
    <row r="70" ht="12.75" spans="1:15">
      <c r="A70" s="12" t="str">
        <f>IFERROR(__xludf.DUMMYFUNCTION("""COMPUTED_VALUE"""),"VGHF11")</f>
        <v>VGHF11</v>
      </c>
      <c r="B70" s="12">
        <f>IFERROR(__xludf.DUMMYFUNCTION("""COMPUTED_VALUE"""),50)</f>
        <v>50</v>
      </c>
      <c r="C70" s="26">
        <f>IFERROR(__xludf.DUMMYFUNCTION("""COMPUTED_VALUE"""),465.14)</f>
        <v>465.14</v>
      </c>
      <c r="D70" s="27">
        <f>IFERROR(__xludf.DUMMYFUNCTION("""COMPUTED_VALUE"""),45355)</f>
        <v>45355</v>
      </c>
      <c r="H70" s="29"/>
      <c r="I70" s="12"/>
      <c r="J70" s="34"/>
      <c r="N70" s="12"/>
      <c r="O70" s="12"/>
    </row>
    <row r="71" ht="12.75" spans="1:15">
      <c r="A71" s="12" t="str">
        <f>IFERROR(__xludf.DUMMYFUNCTION("""COMPUTED_VALUE"""),"BARI11")</f>
        <v>BARI11</v>
      </c>
      <c r="B71" s="12">
        <f>IFERROR(__xludf.DUMMYFUNCTION("""COMPUTED_VALUE"""),10)</f>
        <v>10</v>
      </c>
      <c r="C71" s="26">
        <f>IFERROR(__xludf.DUMMYFUNCTION("""COMPUTED_VALUE"""),839.25)</f>
        <v>839.25</v>
      </c>
      <c r="D71" s="27">
        <f>IFERROR(__xludf.DUMMYFUNCTION("""COMPUTED_VALUE"""),45355)</f>
        <v>45355</v>
      </c>
      <c r="H71" s="29"/>
      <c r="I71" s="12"/>
      <c r="J71" s="34"/>
      <c r="N71" s="12"/>
      <c r="O71" s="12"/>
    </row>
    <row r="72" ht="12.75" spans="1:15">
      <c r="A72" s="12" t="str">
        <f>IFERROR(__xludf.DUMMYFUNCTION("""COMPUTED_VALUE"""),"VGHF11")</f>
        <v>VGHF11</v>
      </c>
      <c r="B72" s="12">
        <f>IFERROR(__xludf.DUMMYFUNCTION("""COMPUTED_VALUE"""),50)</f>
        <v>50</v>
      </c>
      <c r="C72" s="26">
        <f>IFERROR(__xludf.DUMMYFUNCTION("""COMPUTED_VALUE"""),465.63)</f>
        <v>465.63</v>
      </c>
      <c r="D72" s="27">
        <f>IFERROR(__xludf.DUMMYFUNCTION("""COMPUTED_VALUE"""),45352)</f>
        <v>45352</v>
      </c>
      <c r="H72" s="29"/>
      <c r="I72" s="12"/>
      <c r="J72" s="34"/>
      <c r="N72" s="12"/>
      <c r="O72" s="12"/>
    </row>
    <row r="73" ht="12.75" spans="1:15">
      <c r="A73" s="12" t="str">
        <f>IFERROR(__xludf.DUMMYFUNCTION("""COMPUTED_VALUE"""),"BARI11")</f>
        <v>BARI11</v>
      </c>
      <c r="B73" s="12">
        <f>IFERROR(__xludf.DUMMYFUNCTION("""COMPUTED_VALUE"""),10)</f>
        <v>10</v>
      </c>
      <c r="C73" s="26">
        <f>IFERROR(__xludf.DUMMYFUNCTION("""COMPUTED_VALUE"""),844.05)</f>
        <v>844.05</v>
      </c>
      <c r="D73" s="27">
        <f>IFERROR(__xludf.DUMMYFUNCTION("""COMPUTED_VALUE"""),45352)</f>
        <v>45352</v>
      </c>
      <c r="H73" s="29"/>
      <c r="I73" s="12"/>
      <c r="J73" s="34"/>
      <c r="N73" s="12"/>
      <c r="O73" s="12"/>
    </row>
    <row r="74" ht="12.75" spans="1:15">
      <c r="A74" s="12" t="str">
        <f>IFERROR(__xludf.DUMMYFUNCTION("""COMPUTED_VALUE"""),"RZTR11")</f>
        <v>RZTR11</v>
      </c>
      <c r="B74" s="12">
        <f>IFERROR(__xludf.DUMMYFUNCTION("""COMPUTED_VALUE"""),10)</f>
        <v>10</v>
      </c>
      <c r="C74" s="26">
        <f>IFERROR(__xludf.DUMMYFUNCTION("""COMPUTED_VALUE"""),953.27)</f>
        <v>953.27</v>
      </c>
      <c r="D74" s="27">
        <f>IFERROR(__xludf.DUMMYFUNCTION("""COMPUTED_VALUE"""),45350)</f>
        <v>45350</v>
      </c>
      <c r="H74" s="29"/>
      <c r="I74" s="12"/>
      <c r="J74" s="34"/>
      <c r="N74" s="12"/>
      <c r="O74" s="12"/>
    </row>
    <row r="75" ht="12.75" spans="1:15">
      <c r="A75" s="12" t="str">
        <f>IFERROR(__xludf.DUMMYFUNCTION("""COMPUTED_VALUE"""),"VGHF11")</f>
        <v>VGHF11</v>
      </c>
      <c r="B75" s="12">
        <f>IFERROR(__xludf.DUMMYFUNCTION("""COMPUTED_VALUE"""),50)</f>
        <v>50</v>
      </c>
      <c r="C75" s="26">
        <f>IFERROR(__xludf.DUMMYFUNCTION("""COMPUTED_VALUE"""),467.13)</f>
        <v>467.13</v>
      </c>
      <c r="D75" s="27">
        <f>IFERROR(__xludf.DUMMYFUNCTION("""COMPUTED_VALUE"""),45349)</f>
        <v>45349</v>
      </c>
      <c r="H75" s="29"/>
      <c r="I75" s="12"/>
      <c r="J75" s="34"/>
      <c r="N75" s="12"/>
      <c r="O75" s="12"/>
    </row>
    <row r="76" ht="12.75" spans="1:15">
      <c r="A76" s="12" t="str">
        <f>IFERROR(__xludf.DUMMYFUNCTION("""COMPUTED_VALUE"""),"BODB11")</f>
        <v>BODB11</v>
      </c>
      <c r="B76" s="12">
        <f>IFERROR(__xludf.DUMMYFUNCTION("""COMPUTED_VALUE"""),50)</f>
        <v>50</v>
      </c>
      <c r="C76" s="26">
        <f>IFERROR(__xludf.DUMMYFUNCTION("""COMPUTED_VALUE"""),469.63)</f>
        <v>469.63</v>
      </c>
      <c r="D76" s="27">
        <f>IFERROR(__xludf.DUMMYFUNCTION("""COMPUTED_VALUE"""),45337)</f>
        <v>45337</v>
      </c>
      <c r="H76" s="29"/>
      <c r="I76" s="12"/>
      <c r="J76" s="34"/>
      <c r="N76" s="12"/>
      <c r="O76" s="12"/>
    </row>
    <row r="77" ht="12.75" spans="1:15">
      <c r="A77" s="12" t="str">
        <f>IFERROR(__xludf.DUMMYFUNCTION("""COMPUTED_VALUE"""),"BODB11")</f>
        <v>BODB11</v>
      </c>
      <c r="B77" s="12">
        <f>IFERROR(__xludf.DUMMYFUNCTION("""COMPUTED_VALUE"""),50)</f>
        <v>50</v>
      </c>
      <c r="C77" s="26">
        <f>IFERROR(__xludf.DUMMYFUNCTION("""COMPUTED_VALUE"""),470.14)</f>
        <v>470.14</v>
      </c>
      <c r="D77" s="27">
        <f>IFERROR(__xludf.DUMMYFUNCTION("""COMPUTED_VALUE"""),45323)</f>
        <v>45323</v>
      </c>
      <c r="H77" s="29"/>
      <c r="I77" s="12"/>
      <c r="J77" s="34"/>
      <c r="N77" s="12"/>
      <c r="O77" s="12"/>
    </row>
    <row r="78" ht="12.75" spans="1:15">
      <c r="A78" s="12" t="str">
        <f>IFERROR(__xludf.DUMMYFUNCTION("""COMPUTED_VALUE"""),"VGHF11")</f>
        <v>VGHF11</v>
      </c>
      <c r="B78" s="12">
        <f>IFERROR(__xludf.DUMMYFUNCTION("""COMPUTED_VALUE"""),50)</f>
        <v>50</v>
      </c>
      <c r="C78" s="26">
        <f>IFERROR(__xludf.DUMMYFUNCTION("""COMPUTED_VALUE"""),470.15)</f>
        <v>470.15</v>
      </c>
      <c r="D78" s="27">
        <f>IFERROR(__xludf.DUMMYFUNCTION("""COMPUTED_VALUE"""),45323)</f>
        <v>45323</v>
      </c>
      <c r="H78" s="29"/>
      <c r="I78" s="12"/>
      <c r="J78" s="34"/>
      <c r="N78" s="12"/>
      <c r="O78" s="12"/>
    </row>
    <row r="79" ht="12.75" spans="1:15">
      <c r="A79" s="12" t="str">
        <f>IFERROR(__xludf.DUMMYFUNCTION("""COMPUTED_VALUE"""),"JURO11")</f>
        <v>JURO11</v>
      </c>
      <c r="B79" s="12">
        <f>IFERROR(__xludf.DUMMYFUNCTION("""COMPUTED_VALUE"""),10)</f>
        <v>10</v>
      </c>
      <c r="C79" s="26">
        <f>IFERROR(__xludf.DUMMYFUNCTION("""COMPUTED_VALUE"""),1058.01)</f>
        <v>1058.01</v>
      </c>
      <c r="D79" s="27">
        <f>IFERROR(__xludf.DUMMYFUNCTION("""COMPUTED_VALUE"""),45322)</f>
        <v>45322</v>
      </c>
      <c r="H79" s="29"/>
      <c r="I79" s="12"/>
      <c r="J79" s="34"/>
      <c r="N79" s="12"/>
      <c r="O79" s="12"/>
    </row>
    <row r="80" ht="12.75" spans="1:15">
      <c r="A80" s="12" t="str">
        <f>IFERROR(__xludf.DUMMYFUNCTION("""COMPUTED_VALUE"""),"BDIF11")</f>
        <v>BDIF11</v>
      </c>
      <c r="B80" s="12">
        <f>IFERROR(__xludf.DUMMYFUNCTION("""COMPUTED_VALUE"""),10)</f>
        <v>10</v>
      </c>
      <c r="C80" s="26">
        <f>IFERROR(__xludf.DUMMYFUNCTION("""COMPUTED_VALUE"""),901.76)</f>
        <v>901.76</v>
      </c>
      <c r="D80" s="27">
        <f>IFERROR(__xludf.DUMMYFUNCTION("""COMPUTED_VALUE"""),45321)</f>
        <v>45321</v>
      </c>
      <c r="H80" s="29"/>
      <c r="I80" s="12"/>
      <c r="J80" s="34"/>
      <c r="N80" s="12"/>
      <c r="O80" s="12"/>
    </row>
    <row r="81" ht="12.75" spans="1:15">
      <c r="A81" s="12" t="str">
        <f>IFERROR(__xludf.DUMMYFUNCTION("""COMPUTED_VALUE"""),"BODB11")</f>
        <v>BODB11</v>
      </c>
      <c r="B81" s="12">
        <f>IFERROR(__xludf.DUMMYFUNCTION("""COMPUTED_VALUE"""),50)</f>
        <v>50</v>
      </c>
      <c r="C81" s="26">
        <f>IFERROR(__xludf.DUMMYFUNCTION("""COMPUTED_VALUE"""),474.13)</f>
        <v>474.13</v>
      </c>
      <c r="D81" s="27">
        <f>IFERROR(__xludf.DUMMYFUNCTION("""COMPUTED_VALUE"""),45320)</f>
        <v>45320</v>
      </c>
      <c r="H81" s="29"/>
      <c r="I81" s="12"/>
      <c r="J81" s="34"/>
      <c r="N81" s="12"/>
      <c r="O81" s="12"/>
    </row>
    <row r="82" ht="12.75" spans="1:15">
      <c r="A82" s="12" t="str">
        <f>IFERROR(__xludf.DUMMYFUNCTION("""COMPUTED_VALUE"""),"BDIF11")</f>
        <v>BDIF11</v>
      </c>
      <c r="B82" s="12">
        <f>IFERROR(__xludf.DUMMYFUNCTION("""COMPUTED_VALUE"""),10)</f>
        <v>10</v>
      </c>
      <c r="C82" s="26">
        <f>IFERROR(__xludf.DUMMYFUNCTION("""COMPUTED_VALUE"""),911.859999999999)</f>
        <v>911.859999999999</v>
      </c>
      <c r="D82" s="27">
        <f>IFERROR(__xludf.DUMMYFUNCTION("""COMPUTED_VALUE"""),45315)</f>
        <v>45315</v>
      </c>
      <c r="H82" s="29"/>
      <c r="I82" s="12"/>
      <c r="J82" s="34"/>
      <c r="N82" s="12"/>
      <c r="O82" s="12"/>
    </row>
    <row r="83" ht="12.75" spans="1:15">
      <c r="A83" s="12" t="str">
        <f>IFERROR(__xludf.DUMMYFUNCTION("""COMPUTED_VALUE"""),"BODB11")</f>
        <v>BODB11</v>
      </c>
      <c r="B83" s="12">
        <f>IFERROR(__xludf.DUMMYFUNCTION("""COMPUTED_VALUE"""),50)</f>
        <v>50</v>
      </c>
      <c r="C83" s="26">
        <f>IFERROR(__xludf.DUMMYFUNCTION("""COMPUTED_VALUE"""),474.14)</f>
        <v>474.14</v>
      </c>
      <c r="D83" s="27">
        <f>IFERROR(__xludf.DUMMYFUNCTION("""COMPUTED_VALUE"""),45313)</f>
        <v>45313</v>
      </c>
      <c r="H83" s="29"/>
      <c r="I83" s="12"/>
      <c r="J83" s="34"/>
      <c r="N83" s="12"/>
      <c r="O83" s="12"/>
    </row>
    <row r="84" ht="12.75" spans="1:15">
      <c r="A84" s="12" t="str">
        <f>IFERROR(__xludf.DUMMYFUNCTION("""COMPUTED_VALUE"""),"BDIF11")</f>
        <v>BDIF11</v>
      </c>
      <c r="B84" s="12">
        <f>IFERROR(__xludf.DUMMYFUNCTION("""COMPUTED_VALUE"""),10)</f>
        <v>10</v>
      </c>
      <c r="C84" s="26">
        <f>IFERROR(__xludf.DUMMYFUNCTION("""COMPUTED_VALUE"""),916.56)</f>
        <v>916.56</v>
      </c>
      <c r="D84" s="27">
        <f>IFERROR(__xludf.DUMMYFUNCTION("""COMPUTED_VALUE"""),45313)</f>
        <v>45313</v>
      </c>
      <c r="H84" s="29"/>
      <c r="I84" s="12"/>
      <c r="J84" s="34"/>
      <c r="N84" s="12"/>
      <c r="O84" s="12"/>
    </row>
    <row r="85" ht="12.75" spans="1:15">
      <c r="A85" s="12" t="str">
        <f>IFERROR(__xludf.DUMMYFUNCTION("""COMPUTED_VALUE"""),"BODB11")</f>
        <v>BODB11</v>
      </c>
      <c r="B85" s="12">
        <f>IFERROR(__xludf.DUMMYFUNCTION("""COMPUTED_VALUE"""),150)</f>
        <v>150</v>
      </c>
      <c r="C85" s="26">
        <f>IFERROR(__xludf.DUMMYFUNCTION("""COMPUTED_VALUE"""),1422.41999999999)</f>
        <v>1422.41999999999</v>
      </c>
      <c r="D85" s="27">
        <f>IFERROR(__xludf.DUMMYFUNCTION("""COMPUTED_VALUE"""),45308)</f>
        <v>45308</v>
      </c>
      <c r="H85" s="29"/>
      <c r="I85" s="12"/>
      <c r="J85" s="34"/>
      <c r="N85" s="12"/>
      <c r="O85" s="12"/>
    </row>
    <row r="86" ht="12.75" spans="1:15">
      <c r="A86" s="12" t="str">
        <f>IFERROR(__xludf.DUMMYFUNCTION("""COMPUTED_VALUE"""),"JURO11")</f>
        <v>JURO11</v>
      </c>
      <c r="B86" s="12">
        <f>IFERROR(__xludf.DUMMYFUNCTION("""COMPUTED_VALUE"""),15)</f>
        <v>15</v>
      </c>
      <c r="C86" s="26">
        <f>IFERROR(__xludf.DUMMYFUNCTION("""COMPUTED_VALUE"""),1603.23)</f>
        <v>1603.23</v>
      </c>
      <c r="D86" s="27">
        <f>IFERROR(__xludf.DUMMYFUNCTION("""COMPUTED_VALUE"""),45296)</f>
        <v>45296</v>
      </c>
      <c r="H86" s="29"/>
      <c r="I86" s="12"/>
      <c r="J86" s="34"/>
      <c r="N86" s="12"/>
      <c r="O86" s="12"/>
    </row>
    <row r="87" ht="12.75" spans="1:15">
      <c r="A87" s="12" t="str">
        <f>IFERROR(__xludf.DUMMYFUNCTION("""COMPUTED_VALUE"""),"VINO11")</f>
        <v>VINO11</v>
      </c>
      <c r="B87" s="12">
        <f>IFERROR(__xludf.DUMMYFUNCTION("""COMPUTED_VALUE"""),50)</f>
        <v>50</v>
      </c>
      <c r="C87" s="26">
        <f>IFERROR(__xludf.DUMMYFUNCTION("""COMPUTED_VALUE"""),378.109999999999)</f>
        <v>378.109999999999</v>
      </c>
      <c r="D87" s="27">
        <f>IFERROR(__xludf.DUMMYFUNCTION("""COMPUTED_VALUE"""),45294)</f>
        <v>45294</v>
      </c>
      <c r="H87" s="29"/>
      <c r="I87" s="12"/>
      <c r="J87" s="34"/>
      <c r="N87" s="12"/>
      <c r="O87" s="12"/>
    </row>
    <row r="88" ht="12.75" spans="1:15">
      <c r="A88" s="12" t="str">
        <f>IFERROR(__xludf.DUMMYFUNCTION("""COMPUTED_VALUE"""),"CPTI11")</f>
        <v>CPTI11</v>
      </c>
      <c r="B88" s="12">
        <f>IFERROR(__xludf.DUMMYFUNCTION("""COMPUTED_VALUE"""),10)</f>
        <v>10</v>
      </c>
      <c r="C88" s="26">
        <f>IFERROR(__xludf.DUMMYFUNCTION("""COMPUTED_VALUE"""),995.499999999999)</f>
        <v>995.499999999999</v>
      </c>
      <c r="D88" s="27">
        <f>IFERROR(__xludf.DUMMYFUNCTION("""COMPUTED_VALUE"""),45294)</f>
        <v>45294</v>
      </c>
      <c r="H88" s="29"/>
      <c r="I88" s="12"/>
      <c r="J88" s="34"/>
      <c r="N88" s="12"/>
      <c r="O88" s="12"/>
    </row>
    <row r="89" ht="12.75" spans="1:15">
      <c r="A89" s="12" t="str">
        <f>IFERROR(__xludf.DUMMYFUNCTION("""COMPUTED_VALUE"""),"HSAF11")</f>
        <v>HSAF11</v>
      </c>
      <c r="B89" s="12">
        <f>IFERROR(__xludf.DUMMYFUNCTION("""COMPUTED_VALUE"""),10)</f>
        <v>10</v>
      </c>
      <c r="C89" s="26">
        <f>IFERROR(__xludf.DUMMYFUNCTION("""COMPUTED_VALUE"""),842.349999999999)</f>
        <v>842.349999999999</v>
      </c>
      <c r="D89" s="27">
        <f>IFERROR(__xludf.DUMMYFUNCTION("""COMPUTED_VALUE"""),45294)</f>
        <v>45294</v>
      </c>
      <c r="H89" s="29"/>
      <c r="I89" s="12"/>
      <c r="J89" s="34"/>
      <c r="N89" s="12"/>
      <c r="O89" s="12"/>
    </row>
    <row r="90" ht="12.75" spans="1:15">
      <c r="A90" s="12" t="str">
        <f>IFERROR(__xludf.DUMMYFUNCTION("""COMPUTED_VALUE"""),"NCHB11")</f>
        <v>NCHB11</v>
      </c>
      <c r="B90" s="12">
        <f>IFERROR(__xludf.DUMMYFUNCTION("""COMPUTED_VALUE"""),90)</f>
        <v>90</v>
      </c>
      <c r="C90" s="26">
        <f>IFERROR(__xludf.DUMMYFUNCTION("""COMPUTED_VALUE"""),797.22)</f>
        <v>797.22</v>
      </c>
      <c r="D90" s="27">
        <f>IFERROR(__xludf.DUMMYFUNCTION("""COMPUTED_VALUE"""),45268)</f>
        <v>45268</v>
      </c>
      <c r="H90" s="29"/>
      <c r="I90" s="12"/>
      <c r="J90" s="34"/>
      <c r="N90" s="12"/>
      <c r="O90" s="12"/>
    </row>
    <row r="91" ht="12.75" spans="1:15">
      <c r="A91" s="12" t="str">
        <f>IFERROR(__xludf.DUMMYFUNCTION("""COMPUTED_VALUE"""),"MFII11")</f>
        <v>MFII11</v>
      </c>
      <c r="B91" s="12">
        <f>IFERROR(__xludf.DUMMYFUNCTION("""COMPUTED_VALUE"""),10)</f>
        <v>10</v>
      </c>
      <c r="C91" s="26">
        <f>IFERROR(__xludf.DUMMYFUNCTION("""COMPUTED_VALUE"""),912.28)</f>
        <v>912.28</v>
      </c>
      <c r="D91" s="27">
        <f>IFERROR(__xludf.DUMMYFUNCTION("""COMPUTED_VALUE"""),45260)</f>
        <v>45260</v>
      </c>
      <c r="H91" s="29"/>
      <c r="I91" s="12"/>
      <c r="J91" s="34"/>
      <c r="N91" s="12"/>
      <c r="O91" s="12"/>
    </row>
    <row r="92" ht="12.75" spans="1:15">
      <c r="A92" s="12" t="str">
        <f>IFERROR(__xludf.DUMMYFUNCTION("""COMPUTED_VALUE"""),"RZAT11")</f>
        <v>RZAT11</v>
      </c>
      <c r="B92" s="12">
        <f>IFERROR(__xludf.DUMMYFUNCTION("""COMPUTED_VALUE"""),10)</f>
        <v>10</v>
      </c>
      <c r="C92" s="26">
        <f>IFERROR(__xludf.DUMMYFUNCTION("""COMPUTED_VALUE"""),873.36)</f>
        <v>873.36</v>
      </c>
      <c r="D92" s="27">
        <f>IFERROR(__xludf.DUMMYFUNCTION("""COMPUTED_VALUE"""),45260)</f>
        <v>45260</v>
      </c>
      <c r="H92" s="29"/>
      <c r="I92" s="12"/>
      <c r="J92" s="34"/>
      <c r="N92" s="12"/>
      <c r="O92" s="12"/>
    </row>
    <row r="93" ht="12.75" spans="1:15">
      <c r="A93" s="12" t="str">
        <f>IFERROR(__xludf.DUMMYFUNCTION("""COMPUTED_VALUE"""),"HSAF11")</f>
        <v>HSAF11</v>
      </c>
      <c r="B93" s="12">
        <f>IFERROR(__xludf.DUMMYFUNCTION("""COMPUTED_VALUE"""),10)</f>
        <v>10</v>
      </c>
      <c r="C93" s="26">
        <f>IFERROR(__xludf.DUMMYFUNCTION("""COMPUTED_VALUE"""),846.25)</f>
        <v>846.25</v>
      </c>
      <c r="D93" s="27">
        <f>IFERROR(__xludf.DUMMYFUNCTION("""COMPUTED_VALUE"""),45260)</f>
        <v>45260</v>
      </c>
      <c r="H93" s="29"/>
      <c r="I93" s="12"/>
      <c r="J93" s="34"/>
      <c r="N93" s="12"/>
      <c r="O93" s="12"/>
    </row>
    <row r="94" ht="12.75" spans="1:15">
      <c r="A94" s="12" t="str">
        <f>IFERROR(__xludf.DUMMYFUNCTION("""COMPUTED_VALUE"""),"RZAT11")</f>
        <v>RZAT11</v>
      </c>
      <c r="B94" s="12">
        <f>IFERROR(__xludf.DUMMYFUNCTION("""COMPUTED_VALUE"""),10)</f>
        <v>10</v>
      </c>
      <c r="C94" s="26">
        <f>IFERROR(__xludf.DUMMYFUNCTION("""COMPUTED_VALUE"""),879.76)</f>
        <v>879.76</v>
      </c>
      <c r="D94" s="27">
        <f>IFERROR(__xludf.DUMMYFUNCTION("""COMPUTED_VALUE"""),45259)</f>
        <v>45259</v>
      </c>
      <c r="H94" s="29"/>
      <c r="I94" s="12"/>
      <c r="J94" s="34"/>
      <c r="N94" s="12"/>
      <c r="O94" s="12"/>
    </row>
    <row r="95" ht="12.75" spans="1:15">
      <c r="A95" s="12" t="str">
        <f>IFERROR(__xludf.DUMMYFUNCTION("""COMPUTED_VALUE"""),"MCCI11")</f>
        <v>MCCI11</v>
      </c>
      <c r="B95" s="12">
        <f>IFERROR(__xludf.DUMMYFUNCTION("""COMPUTED_VALUE"""),10)</f>
        <v>10</v>
      </c>
      <c r="C95" s="26">
        <f>IFERROR(__xludf.DUMMYFUNCTION("""COMPUTED_VALUE"""),878.05)</f>
        <v>878.05</v>
      </c>
      <c r="D95" s="27">
        <f>IFERROR(__xludf.DUMMYFUNCTION("""COMPUTED_VALUE"""),45259)</f>
        <v>45259</v>
      </c>
      <c r="H95" s="29"/>
      <c r="I95" s="12"/>
      <c r="J95" s="34"/>
      <c r="N95" s="12"/>
      <c r="O95" s="12"/>
    </row>
    <row r="96" ht="12.75" spans="1:15">
      <c r="A96" s="12" t="str">
        <f>IFERROR(__xludf.DUMMYFUNCTION("""COMPUTED_VALUE"""),"CVBI11")</f>
        <v>CVBI11</v>
      </c>
      <c r="B96" s="12">
        <f>IFERROR(__xludf.DUMMYFUNCTION("""COMPUTED_VALUE"""),10)</f>
        <v>10</v>
      </c>
      <c r="C96" s="26">
        <f>IFERROR(__xludf.DUMMYFUNCTION("""COMPUTED_VALUE"""),873.25)</f>
        <v>873.25</v>
      </c>
      <c r="D96" s="27">
        <f>IFERROR(__xludf.DUMMYFUNCTION("""COMPUTED_VALUE"""),45257)</f>
        <v>45257</v>
      </c>
      <c r="H96" s="29"/>
      <c r="I96" s="12"/>
      <c r="J96" s="34"/>
      <c r="N96" s="12"/>
      <c r="O96" s="12"/>
    </row>
    <row r="97" ht="12.75" spans="1:15">
      <c r="A97" s="12" t="str">
        <f>IFERROR(__xludf.DUMMYFUNCTION("""COMPUTED_VALUE"""),"MCCI11")</f>
        <v>MCCI11</v>
      </c>
      <c r="B97" s="12">
        <f>IFERROR(__xludf.DUMMYFUNCTION("""COMPUTED_VALUE"""),10)</f>
        <v>10</v>
      </c>
      <c r="C97" s="26">
        <f>IFERROR(__xludf.DUMMYFUNCTION("""COMPUTED_VALUE"""),881.26)</f>
        <v>881.26</v>
      </c>
      <c r="D97" s="27">
        <f>IFERROR(__xludf.DUMMYFUNCTION("""COMPUTED_VALUE"""),45257)</f>
        <v>45257</v>
      </c>
      <c r="H97" s="29"/>
      <c r="I97" s="12"/>
      <c r="J97" s="34"/>
      <c r="N97" s="12"/>
      <c r="O97" s="12"/>
    </row>
    <row r="98" ht="12.75" spans="1:15">
      <c r="A98" s="12" t="str">
        <f>IFERROR(__xludf.DUMMYFUNCTION("""COMPUTED_VALUE"""),"BARI11")</f>
        <v>BARI11</v>
      </c>
      <c r="B98" s="12">
        <f>IFERROR(__xludf.DUMMYFUNCTION("""COMPUTED_VALUE"""),10)</f>
        <v>10</v>
      </c>
      <c r="C98" s="26">
        <f>IFERROR(__xludf.DUMMYFUNCTION("""COMPUTED_VALUE"""),791.42)</f>
        <v>791.42</v>
      </c>
      <c r="D98" s="27">
        <f>IFERROR(__xludf.DUMMYFUNCTION("""COMPUTED_VALUE"""),45254)</f>
        <v>45254</v>
      </c>
      <c r="H98" s="29"/>
      <c r="I98" s="12"/>
      <c r="J98" s="34"/>
      <c r="N98" s="12"/>
      <c r="O98" s="12"/>
    </row>
    <row r="99" ht="12.75" spans="1:15">
      <c r="A99" s="12" t="str">
        <f>IFERROR(__xludf.DUMMYFUNCTION("""COMPUTED_VALUE"""),"RZAT11")</f>
        <v>RZAT11</v>
      </c>
      <c r="B99" s="12">
        <f>IFERROR(__xludf.DUMMYFUNCTION("""COMPUTED_VALUE"""),10)</f>
        <v>10</v>
      </c>
      <c r="C99" s="26">
        <f>IFERROR(__xludf.DUMMYFUNCTION("""COMPUTED_VALUE"""),880.05)</f>
        <v>880.05</v>
      </c>
      <c r="D99" s="27">
        <f>IFERROR(__xludf.DUMMYFUNCTION("""COMPUTED_VALUE"""),45253)</f>
        <v>45253</v>
      </c>
      <c r="H99" s="29"/>
      <c r="I99" s="12"/>
      <c r="J99" s="34"/>
      <c r="N99" s="12"/>
      <c r="O99" s="12"/>
    </row>
    <row r="100" ht="12.75" spans="1:15">
      <c r="A100" s="12" t="str">
        <f>IFERROR(__xludf.DUMMYFUNCTION("""COMPUTED_VALUE"""),"MFII11")</f>
        <v>MFII11</v>
      </c>
      <c r="B100" s="12">
        <f>IFERROR(__xludf.DUMMYFUNCTION("""COMPUTED_VALUE"""),10)</f>
        <v>10</v>
      </c>
      <c r="C100" s="26">
        <f>IFERROR(__xludf.DUMMYFUNCTION("""COMPUTED_VALUE"""),914.56)</f>
        <v>914.56</v>
      </c>
      <c r="D100" s="27">
        <f>IFERROR(__xludf.DUMMYFUNCTION("""COMPUTED_VALUE"""),45247)</f>
        <v>45247</v>
      </c>
      <c r="H100" s="29"/>
      <c r="I100" s="12"/>
      <c r="J100" s="34"/>
      <c r="N100" s="12"/>
      <c r="O100" s="12"/>
    </row>
    <row r="101" ht="12.75" spans="1:15">
      <c r="A101" s="12" t="str">
        <f>IFERROR(__xludf.DUMMYFUNCTION("""COMPUTED_VALUE"""),"RZAT11")</f>
        <v>RZAT11</v>
      </c>
      <c r="B101" s="12">
        <f>IFERROR(__xludf.DUMMYFUNCTION("""COMPUTED_VALUE"""),6)</f>
        <v>6</v>
      </c>
      <c r="C101" s="26">
        <f>IFERROR(__xludf.DUMMYFUNCTION("""COMPUTED_VALUE"""),525.16)</f>
        <v>525.16</v>
      </c>
      <c r="D101" s="27">
        <f>IFERROR(__xludf.DUMMYFUNCTION("""COMPUTED_VALUE"""),45247)</f>
        <v>45247</v>
      </c>
      <c r="H101" s="29"/>
      <c r="I101" s="12"/>
      <c r="J101" s="34"/>
      <c r="N101" s="12"/>
      <c r="O101" s="12"/>
    </row>
    <row r="102" ht="12.75" spans="1:15">
      <c r="A102" s="12" t="str">
        <f>IFERROR(__xludf.DUMMYFUNCTION("""COMPUTED_VALUE"""),"BARI11")</f>
        <v>BARI11</v>
      </c>
      <c r="B102" s="12">
        <f>IFERROR(__xludf.DUMMYFUNCTION("""COMPUTED_VALUE"""),10)</f>
        <v>10</v>
      </c>
      <c r="C102" s="26">
        <f>IFERROR(__xludf.DUMMYFUNCTION("""COMPUTED_VALUE"""),814.74)</f>
        <v>814.74</v>
      </c>
      <c r="D102" s="27">
        <f>IFERROR(__xludf.DUMMYFUNCTION("""COMPUTED_VALUE"""),45246)</f>
        <v>45246</v>
      </c>
      <c r="H102" s="29"/>
      <c r="I102" s="12"/>
      <c r="J102" s="34"/>
      <c r="N102" s="12"/>
      <c r="O102" s="12"/>
    </row>
    <row r="103" ht="12.75" spans="1:15">
      <c r="A103" s="12" t="str">
        <f>IFERROR(__xludf.DUMMYFUNCTION("""COMPUTED_VALUE"""),"RZAT11")</f>
        <v>RZAT11</v>
      </c>
      <c r="B103" s="12">
        <f>IFERROR(__xludf.DUMMYFUNCTION("""COMPUTED_VALUE"""),10)</f>
        <v>10</v>
      </c>
      <c r="C103" s="26">
        <f>IFERROR(__xludf.DUMMYFUNCTION("""COMPUTED_VALUE"""),880.06)</f>
        <v>880.06</v>
      </c>
      <c r="D103" s="27">
        <f>IFERROR(__xludf.DUMMYFUNCTION("""COMPUTED_VALUE"""),45246)</f>
        <v>45246</v>
      </c>
      <c r="H103" s="29"/>
      <c r="I103" s="12"/>
      <c r="J103" s="34"/>
      <c r="N103" s="12"/>
      <c r="O103" s="12"/>
    </row>
    <row r="104" ht="12.75" spans="1:15">
      <c r="A104" s="12" t="str">
        <f>IFERROR(__xludf.DUMMYFUNCTION("""COMPUTED_VALUE"""),"NCHB11")</f>
        <v>NCHB11</v>
      </c>
      <c r="B104" s="12">
        <f>IFERROR(__xludf.DUMMYFUNCTION("""COMPUTED_VALUE"""),90)</f>
        <v>90</v>
      </c>
      <c r="C104" s="26">
        <f>IFERROR(__xludf.DUMMYFUNCTION("""COMPUTED_VALUE"""),795.32)</f>
        <v>795.32</v>
      </c>
      <c r="D104" s="27">
        <f>IFERROR(__xludf.DUMMYFUNCTION("""COMPUTED_VALUE"""),45244)</f>
        <v>45244</v>
      </c>
      <c r="H104" s="29"/>
      <c r="I104" s="12"/>
      <c r="J104" s="34"/>
      <c r="N104" s="12"/>
      <c r="O104" s="12"/>
    </row>
    <row r="105" ht="12.75" spans="1:15">
      <c r="A105" s="12" t="str">
        <f>IFERROR(__xludf.DUMMYFUNCTION("""COMPUTED_VALUE"""),"HSAF11")</f>
        <v>HSAF11</v>
      </c>
      <c r="B105" s="12">
        <f>IFERROR(__xludf.DUMMYFUNCTION("""COMPUTED_VALUE"""),10)</f>
        <v>10</v>
      </c>
      <c r="C105" s="26">
        <f>IFERROR(__xludf.DUMMYFUNCTION("""COMPUTED_VALUE"""),822.939999999999)</f>
        <v>822.939999999999</v>
      </c>
      <c r="D105" s="27">
        <f>IFERROR(__xludf.DUMMYFUNCTION("""COMPUTED_VALUE"""),45229)</f>
        <v>45229</v>
      </c>
      <c r="H105" s="29"/>
      <c r="I105" s="12"/>
      <c r="J105" s="34"/>
      <c r="N105" s="12"/>
      <c r="O105" s="12"/>
    </row>
    <row r="106" ht="12.75" spans="1:15">
      <c r="A106" s="12" t="str">
        <f>IFERROR(__xludf.DUMMYFUNCTION("""COMPUTED_VALUE"""),"VINO11")</f>
        <v>VINO11</v>
      </c>
      <c r="B106" s="12">
        <f>IFERROR(__xludf.DUMMYFUNCTION("""COMPUTED_VALUE"""),100)</f>
        <v>100</v>
      </c>
      <c r="C106" s="26">
        <f>IFERROR(__xludf.DUMMYFUNCTION("""COMPUTED_VALUE"""),775.22)</f>
        <v>775.22</v>
      </c>
      <c r="D106" s="27">
        <f>IFERROR(__xludf.DUMMYFUNCTION("""COMPUTED_VALUE"""),45229)</f>
        <v>45229</v>
      </c>
      <c r="H106" s="29"/>
      <c r="I106" s="12"/>
      <c r="J106" s="34"/>
      <c r="N106" s="12"/>
      <c r="O106" s="12"/>
    </row>
    <row r="107" ht="12.75" spans="1:15">
      <c r="A107" s="12" t="str">
        <f>IFERROR(__xludf.DUMMYFUNCTION("""COMPUTED_VALUE"""),"RZAT11")</f>
        <v>RZAT11</v>
      </c>
      <c r="B107" s="12">
        <f>IFERROR(__xludf.DUMMYFUNCTION("""COMPUTED_VALUE"""),10)</f>
        <v>10</v>
      </c>
      <c r="C107" s="26">
        <f>IFERROR(__xludf.DUMMYFUNCTION("""COMPUTED_VALUE"""),859.25)</f>
        <v>859.25</v>
      </c>
      <c r="D107" s="27">
        <f>IFERROR(__xludf.DUMMYFUNCTION("""COMPUTED_VALUE"""),45219)</f>
        <v>45219</v>
      </c>
      <c r="H107" s="29"/>
      <c r="I107" s="12"/>
      <c r="J107" s="34"/>
      <c r="N107" s="12"/>
      <c r="O107" s="12"/>
    </row>
    <row r="108" ht="12.75" spans="1:15">
      <c r="A108" s="12" t="str">
        <f>IFERROR(__xludf.DUMMYFUNCTION("""COMPUTED_VALUE"""),"RECR11")</f>
        <v>RECR11</v>
      </c>
      <c r="B108" s="12">
        <f>IFERROR(__xludf.DUMMYFUNCTION("""COMPUTED_VALUE"""),10)</f>
        <v>10</v>
      </c>
      <c r="C108" s="26">
        <f>IFERROR(__xludf.DUMMYFUNCTION("""COMPUTED_VALUE"""),842.75)</f>
        <v>842.75</v>
      </c>
      <c r="D108" s="27">
        <f>IFERROR(__xludf.DUMMYFUNCTION("""COMPUTED_VALUE"""),45218)</f>
        <v>45218</v>
      </c>
      <c r="H108" s="29"/>
      <c r="I108" s="12"/>
      <c r="J108" s="34"/>
      <c r="N108" s="12"/>
      <c r="O108" s="12"/>
    </row>
    <row r="109" ht="12.75" spans="1:15">
      <c r="A109" s="12" t="str">
        <f>IFERROR(__xludf.DUMMYFUNCTION("""COMPUTED_VALUE"""),"CPTI11")</f>
        <v>CPTI11</v>
      </c>
      <c r="B109" s="12">
        <f>IFERROR(__xludf.DUMMYFUNCTION("""COMPUTED_VALUE"""),10)</f>
        <v>10</v>
      </c>
      <c r="C109" s="26">
        <f>IFERROR(__xludf.DUMMYFUNCTION("""COMPUTED_VALUE"""),991.3)</f>
        <v>991.3</v>
      </c>
      <c r="D109" s="27">
        <f>IFERROR(__xludf.DUMMYFUNCTION("""COMPUTED_VALUE"""),45217)</f>
        <v>45217</v>
      </c>
      <c r="H109" s="29"/>
      <c r="I109" s="12"/>
      <c r="J109" s="34"/>
      <c r="N109" s="12"/>
      <c r="O109" s="12"/>
    </row>
    <row r="110" ht="12.75" spans="1:15">
      <c r="A110" s="12" t="str">
        <f>IFERROR(__xludf.DUMMYFUNCTION("""COMPUTED_VALUE"""),"RZAT11")</f>
        <v>RZAT11</v>
      </c>
      <c r="B110" s="12">
        <f>IFERROR(__xludf.DUMMYFUNCTION("""COMPUTED_VALUE"""),10)</f>
        <v>10</v>
      </c>
      <c r="C110" s="26">
        <f>IFERROR(__xludf.DUMMYFUNCTION("""COMPUTED_VALUE"""),876.25)</f>
        <v>876.25</v>
      </c>
      <c r="D110" s="27">
        <f>IFERROR(__xludf.DUMMYFUNCTION("""COMPUTED_VALUE"""),45217)</f>
        <v>45217</v>
      </c>
      <c r="H110" s="29"/>
      <c r="I110" s="12"/>
      <c r="J110" s="34"/>
      <c r="N110" s="12"/>
      <c r="O110" s="12"/>
    </row>
    <row r="111" ht="12.75" spans="1:15">
      <c r="A111" s="12" t="str">
        <f>IFERROR(__xludf.DUMMYFUNCTION("""COMPUTED_VALUE"""),"HSAF11")</f>
        <v>HSAF11</v>
      </c>
      <c r="B111" s="12">
        <f>IFERROR(__xludf.DUMMYFUNCTION("""COMPUTED_VALUE"""),10)</f>
        <v>10</v>
      </c>
      <c r="C111" s="26">
        <f>IFERROR(__xludf.DUMMYFUNCTION("""COMPUTED_VALUE"""),827.04)</f>
        <v>827.04</v>
      </c>
      <c r="D111" s="27">
        <f>IFERROR(__xludf.DUMMYFUNCTION("""COMPUTED_VALUE"""),45209)</f>
        <v>45209</v>
      </c>
      <c r="H111" s="29"/>
      <c r="I111" s="12"/>
      <c r="J111" s="34"/>
      <c r="N111" s="12"/>
      <c r="O111" s="12"/>
    </row>
    <row r="112" ht="12.75" spans="1:15">
      <c r="A112" s="12" t="str">
        <f>IFERROR(__xludf.DUMMYFUNCTION("""COMPUTED_VALUE"""),"VINO11")</f>
        <v>VINO11</v>
      </c>
      <c r="B112" s="12">
        <f>IFERROR(__xludf.DUMMYFUNCTION("""COMPUTED_VALUE"""),100)</f>
        <v>100</v>
      </c>
      <c r="C112" s="26">
        <f>IFERROR(__xludf.DUMMYFUNCTION("""COMPUTED_VALUE"""),830.24)</f>
        <v>830.24</v>
      </c>
      <c r="D112" s="27">
        <f>IFERROR(__xludf.DUMMYFUNCTION("""COMPUTED_VALUE"""),45202)</f>
        <v>45202</v>
      </c>
      <c r="H112" s="29"/>
      <c r="I112" s="12"/>
      <c r="J112" s="34"/>
      <c r="N112" s="12"/>
      <c r="O112" s="12"/>
    </row>
    <row r="113" ht="12.75" spans="1:15">
      <c r="A113" s="12" t="str">
        <f>IFERROR(__xludf.DUMMYFUNCTION("""COMPUTED_VALUE"""),"RZAT11")</f>
        <v>RZAT11</v>
      </c>
      <c r="B113" s="12">
        <f>IFERROR(__xludf.DUMMYFUNCTION("""COMPUTED_VALUE"""),10)</f>
        <v>10</v>
      </c>
      <c r="C113" s="26">
        <f>IFERROR(__xludf.DUMMYFUNCTION("""COMPUTED_VALUE"""),885.26)</f>
        <v>885.26</v>
      </c>
      <c r="D113" s="27">
        <f>IFERROR(__xludf.DUMMYFUNCTION("""COMPUTED_VALUE"""),45202)</f>
        <v>45202</v>
      </c>
      <c r="H113" s="29"/>
      <c r="I113" s="12"/>
      <c r="J113" s="34"/>
      <c r="N113" s="12"/>
      <c r="O113" s="12"/>
    </row>
    <row r="114" ht="12.75" spans="1:15">
      <c r="A114" s="12" t="str">
        <f>IFERROR(__xludf.DUMMYFUNCTION("""COMPUTED_VALUE"""),"BARI11")</f>
        <v>BARI11</v>
      </c>
      <c r="B114" s="12">
        <f>IFERROR(__xludf.DUMMYFUNCTION("""COMPUTED_VALUE"""),10)</f>
        <v>10</v>
      </c>
      <c r="C114" s="26">
        <f>IFERROR(__xludf.DUMMYFUNCTION("""COMPUTED_VALUE"""),804.24)</f>
        <v>804.24</v>
      </c>
      <c r="D114" s="27">
        <f>IFERROR(__xludf.DUMMYFUNCTION("""COMPUTED_VALUE"""),45201)</f>
        <v>45201</v>
      </c>
      <c r="H114" s="29"/>
      <c r="I114" s="12"/>
      <c r="J114" s="34"/>
      <c r="N114" s="12"/>
      <c r="O114" s="12"/>
    </row>
    <row r="115" ht="12.75" spans="1:15">
      <c r="A115" s="12" t="str">
        <f>IFERROR(__xludf.DUMMYFUNCTION("""COMPUTED_VALUE"""),"HSAF11")</f>
        <v>HSAF11</v>
      </c>
      <c r="B115" s="12">
        <f>IFERROR(__xludf.DUMMYFUNCTION("""COMPUTED_VALUE"""),10)</f>
        <v>10</v>
      </c>
      <c r="C115" s="26">
        <f>IFERROR(__xludf.DUMMYFUNCTION("""COMPUTED_VALUE"""),847.349999999999)</f>
        <v>847.349999999999</v>
      </c>
      <c r="D115" s="27">
        <f>IFERROR(__xludf.DUMMYFUNCTION("""COMPUTED_VALUE"""),45201)</f>
        <v>45201</v>
      </c>
      <c r="H115" s="29"/>
      <c r="I115" s="12"/>
      <c r="J115" s="34"/>
      <c r="N115" s="12"/>
      <c r="O115" s="12"/>
    </row>
    <row r="116" ht="12.75" spans="1:15">
      <c r="A116" s="12" t="str">
        <f>IFERROR(__xludf.DUMMYFUNCTION("""COMPUTED_VALUE"""),"RECR11")</f>
        <v>RECR11</v>
      </c>
      <c r="B116" s="12">
        <f>IFERROR(__xludf.DUMMYFUNCTION("""COMPUTED_VALUE"""),10)</f>
        <v>10</v>
      </c>
      <c r="C116" s="26">
        <f>IFERROR(__xludf.DUMMYFUNCTION("""COMPUTED_VALUE"""),870.06)</f>
        <v>870.06</v>
      </c>
      <c r="D116" s="27">
        <f>IFERROR(__xludf.DUMMYFUNCTION("""COMPUTED_VALUE"""),45201)</f>
        <v>45201</v>
      </c>
      <c r="H116" s="29"/>
      <c r="I116" s="12"/>
      <c r="J116" s="34"/>
      <c r="N116" s="12"/>
      <c r="O116" s="12"/>
    </row>
    <row r="117" ht="12.75" spans="1:15">
      <c r="A117" s="12" t="str">
        <f>IFERROR(__xludf.DUMMYFUNCTION("""COMPUTED_VALUE"""),"HSAF11")</f>
        <v>HSAF11</v>
      </c>
      <c r="B117" s="12">
        <f>IFERROR(__xludf.DUMMYFUNCTION("""COMPUTED_VALUE"""),10)</f>
        <v>10</v>
      </c>
      <c r="C117" s="26">
        <f>IFERROR(__xludf.DUMMYFUNCTION("""COMPUTED_VALUE"""),850.35)</f>
        <v>850.35</v>
      </c>
      <c r="D117" s="27">
        <f>IFERROR(__xludf.DUMMYFUNCTION("""COMPUTED_VALUE"""),45198)</f>
        <v>45198</v>
      </c>
      <c r="H117" s="29"/>
      <c r="I117" s="12"/>
      <c r="J117" s="34"/>
      <c r="N117" s="12"/>
      <c r="O117" s="12"/>
    </row>
    <row r="118" ht="12.75" spans="1:15">
      <c r="A118" s="12" t="str">
        <f>IFERROR(__xludf.DUMMYFUNCTION("""COMPUTED_VALUE"""),"BARI11")</f>
        <v>BARI11</v>
      </c>
      <c r="B118" s="12">
        <f>IFERROR(__xludf.DUMMYFUNCTION("""COMPUTED_VALUE"""),10)</f>
        <v>10</v>
      </c>
      <c r="C118" s="26">
        <f>IFERROR(__xludf.DUMMYFUNCTION("""COMPUTED_VALUE"""),841.75)</f>
        <v>841.75</v>
      </c>
      <c r="D118" s="27">
        <f>IFERROR(__xludf.DUMMYFUNCTION("""COMPUTED_VALUE"""),45198)</f>
        <v>45198</v>
      </c>
      <c r="H118" s="29"/>
      <c r="I118" s="12"/>
      <c r="J118" s="34"/>
      <c r="N118" s="12"/>
      <c r="O118" s="12"/>
    </row>
    <row r="119" ht="12.75" spans="1:15">
      <c r="A119" s="12" t="str">
        <f>IFERROR(__xludf.DUMMYFUNCTION("""COMPUTED_VALUE"""),"BARI11")</f>
        <v>BARI11</v>
      </c>
      <c r="B119" s="12">
        <f>IFERROR(__xludf.DUMMYFUNCTION("""COMPUTED_VALUE"""),10)</f>
        <v>10</v>
      </c>
      <c r="C119" s="26">
        <f>IFERROR(__xludf.DUMMYFUNCTION("""COMPUTED_VALUE"""),845.25)</f>
        <v>845.25</v>
      </c>
      <c r="D119" s="27">
        <f>IFERROR(__xludf.DUMMYFUNCTION("""COMPUTED_VALUE"""),45188)</f>
        <v>45188</v>
      </c>
      <c r="H119" s="29"/>
      <c r="I119" s="12"/>
      <c r="J119" s="34"/>
      <c r="N119" s="12"/>
      <c r="O119" s="12"/>
    </row>
    <row r="120" ht="12.75" spans="1:15">
      <c r="A120" s="12" t="str">
        <f>IFERROR(__xludf.DUMMYFUNCTION("""COMPUTED_VALUE"""),"HSAF11")</f>
        <v>HSAF11</v>
      </c>
      <c r="B120" s="12">
        <f>IFERROR(__xludf.DUMMYFUNCTION("""COMPUTED_VALUE"""),10)</f>
        <v>10</v>
      </c>
      <c r="C120" s="26">
        <f>IFERROR(__xludf.DUMMYFUNCTION("""COMPUTED_VALUE"""),877.16)</f>
        <v>877.16</v>
      </c>
      <c r="D120" s="27">
        <f>IFERROR(__xludf.DUMMYFUNCTION("""COMPUTED_VALUE"""),45188)</f>
        <v>45188</v>
      </c>
      <c r="H120" s="29"/>
      <c r="I120" s="12"/>
      <c r="J120" s="34"/>
      <c r="N120" s="12"/>
      <c r="O120" s="12"/>
    </row>
    <row r="121" ht="12.75" spans="1:15">
      <c r="A121" s="12" t="str">
        <f>IFERROR(__xludf.DUMMYFUNCTION("""COMPUTED_VALUE"""),"NCHB11")</f>
        <v>NCHB11</v>
      </c>
      <c r="B121" s="12">
        <f>IFERROR(__xludf.DUMMYFUNCTION("""COMPUTED_VALUE"""),90)</f>
        <v>90</v>
      </c>
      <c r="C121" s="26">
        <f>IFERROR(__xludf.DUMMYFUNCTION("""COMPUTED_VALUE"""),824.24)</f>
        <v>824.24</v>
      </c>
      <c r="D121" s="27">
        <f>IFERROR(__xludf.DUMMYFUNCTION("""COMPUTED_VALUE"""),45188)</f>
        <v>45188</v>
      </c>
      <c r="H121" s="29"/>
      <c r="I121" s="12"/>
      <c r="J121" s="34"/>
      <c r="N121" s="12"/>
      <c r="O121" s="12"/>
    </row>
    <row r="122" ht="12.75" spans="1:15">
      <c r="A122" s="12" t="str">
        <f>IFERROR(__xludf.DUMMYFUNCTION("""COMPUTED_VALUE"""),"HSAF11")</f>
        <v>HSAF11</v>
      </c>
      <c r="B122" s="12">
        <f>IFERROR(__xludf.DUMMYFUNCTION("""COMPUTED_VALUE"""),10)</f>
        <v>10</v>
      </c>
      <c r="C122" s="26">
        <f>IFERROR(__xludf.DUMMYFUNCTION("""COMPUTED_VALUE"""),865.25)</f>
        <v>865.25</v>
      </c>
      <c r="D122" s="27">
        <f>IFERROR(__xludf.DUMMYFUNCTION("""COMPUTED_VALUE"""),45191)</f>
        <v>45191</v>
      </c>
      <c r="H122" s="29"/>
      <c r="I122" s="12"/>
      <c r="J122" s="34"/>
      <c r="N122" s="12"/>
      <c r="O122" s="12"/>
    </row>
    <row r="123" ht="12.75" spans="1:15">
      <c r="A123" s="12" t="str">
        <f>IFERROR(__xludf.DUMMYFUNCTION("""COMPUTED_VALUE"""),"HGLG11")</f>
        <v>HGLG11</v>
      </c>
      <c r="B123" s="12">
        <f>IFERROR(__xludf.DUMMYFUNCTION("""COMPUTED_VALUE"""),70)</f>
        <v>70</v>
      </c>
      <c r="C123" s="26">
        <f>IFERROR(__xludf.DUMMYFUNCTION("""COMPUTED_VALUE"""),10899)</f>
        <v>10899</v>
      </c>
      <c r="D123" s="27">
        <f>IFERROR(__xludf.DUMMYFUNCTION("""COMPUTED_VALUE"""),45079)</f>
        <v>45079</v>
      </c>
      <c r="H123" s="29"/>
      <c r="I123" s="12"/>
      <c r="J123" s="34"/>
      <c r="N123" s="12"/>
      <c r="O123" s="12"/>
    </row>
    <row r="124" ht="12.75" spans="1:15">
      <c r="A124" s="12" t="str">
        <f>IFERROR(__xludf.DUMMYFUNCTION("""COMPUTED_VALUE"""),"BARI11")</f>
        <v>BARI11</v>
      </c>
      <c r="B124" s="12">
        <f>IFERROR(__xludf.DUMMYFUNCTION("""COMPUTED_VALUE"""),10)</f>
        <v>10</v>
      </c>
      <c r="C124" s="26">
        <f>IFERROR(__xludf.DUMMYFUNCTION("""COMPUTED_VALUE"""),849.849999999999)</f>
        <v>849.849999999999</v>
      </c>
      <c r="D124" s="27">
        <f>IFERROR(__xludf.DUMMYFUNCTION("""COMPUTED_VALUE"""),45170)</f>
        <v>45170</v>
      </c>
      <c r="H124" s="29"/>
      <c r="I124" s="12"/>
      <c r="J124" s="34"/>
      <c r="N124" s="12"/>
      <c r="O124" s="12"/>
    </row>
    <row r="125" ht="12.75" spans="1:15">
      <c r="A125" s="12" t="str">
        <f>IFERROR(__xludf.DUMMYFUNCTION("""COMPUTED_VALUE"""),"BARI11")</f>
        <v>BARI11</v>
      </c>
      <c r="B125" s="12">
        <f>IFERROR(__xludf.DUMMYFUNCTION("""COMPUTED_VALUE"""),10)</f>
        <v>10</v>
      </c>
      <c r="C125" s="26">
        <f>IFERROR(__xludf.DUMMYFUNCTION("""COMPUTED_VALUE"""),872.26)</f>
        <v>872.26</v>
      </c>
      <c r="D125" s="27">
        <f>IFERROR(__xludf.DUMMYFUNCTION("""COMPUTED_VALUE"""),45168)</f>
        <v>45168</v>
      </c>
      <c r="H125" s="29"/>
      <c r="I125" s="12"/>
      <c r="J125" s="34"/>
      <c r="N125" s="12"/>
      <c r="O125" s="12"/>
    </row>
    <row r="126" ht="12.75" spans="1:15">
      <c r="A126" s="12" t="str">
        <f>IFERROR(__xludf.DUMMYFUNCTION("""COMPUTED_VALUE"""),"HSAF11")</f>
        <v>HSAF11</v>
      </c>
      <c r="B126" s="12">
        <f>IFERROR(__xludf.DUMMYFUNCTION("""COMPUTED_VALUE"""),10)</f>
        <v>10</v>
      </c>
      <c r="C126" s="26">
        <f>IFERROR(__xludf.DUMMYFUNCTION("""COMPUTED_VALUE"""),859.75)</f>
        <v>859.75</v>
      </c>
      <c r="D126" s="27">
        <f>IFERROR(__xludf.DUMMYFUNCTION("""COMPUTED_VALUE"""),45168)</f>
        <v>45168</v>
      </c>
      <c r="H126" s="29"/>
      <c r="I126" s="12"/>
      <c r="J126" s="34"/>
      <c r="N126" s="12"/>
      <c r="O126" s="12"/>
    </row>
    <row r="127" ht="12.75" spans="1:15">
      <c r="A127" s="12" t="str">
        <f>IFERROR(__xludf.DUMMYFUNCTION("""COMPUTED_VALUE"""),"NCHB11")</f>
        <v>NCHB11</v>
      </c>
      <c r="B127" s="12">
        <f>IFERROR(__xludf.DUMMYFUNCTION("""COMPUTED_VALUE"""),90)</f>
        <v>90</v>
      </c>
      <c r="C127" s="26">
        <f>IFERROR(__xludf.DUMMYFUNCTION("""COMPUTED_VALUE"""),829.349999999999)</f>
        <v>829.349999999999</v>
      </c>
      <c r="D127" s="27">
        <f>IFERROR(__xludf.DUMMYFUNCTION("""COMPUTED_VALUE"""),45168)</f>
        <v>45168</v>
      </c>
      <c r="H127" s="29"/>
      <c r="I127" s="12"/>
      <c r="J127" s="34"/>
      <c r="N127" s="12"/>
      <c r="O127" s="12"/>
    </row>
    <row r="128" ht="12.75" spans="1:15">
      <c r="A128" s="12" t="str">
        <f>IFERROR(__xludf.DUMMYFUNCTION("""COMPUTED_VALUE"""),"RZAT11")</f>
        <v>RZAT11</v>
      </c>
      <c r="B128" s="12">
        <f>IFERROR(__xludf.DUMMYFUNCTION("""COMPUTED_VALUE"""),10)</f>
        <v>10</v>
      </c>
      <c r="C128" s="26">
        <f>IFERROR(__xludf.DUMMYFUNCTION("""COMPUTED_VALUE"""),882.67)</f>
        <v>882.67</v>
      </c>
      <c r="D128" s="27">
        <f>IFERROR(__xludf.DUMMYFUNCTION("""COMPUTED_VALUE"""),45167)</f>
        <v>45167</v>
      </c>
      <c r="H128" s="29"/>
      <c r="I128" s="12"/>
      <c r="J128" s="34"/>
      <c r="N128" s="12"/>
      <c r="O128" s="12"/>
    </row>
    <row r="129" ht="12.75" spans="1:15">
      <c r="A129" s="12" t="str">
        <f>IFERROR(__xludf.DUMMYFUNCTION("""COMPUTED_VALUE"""),"HSAF11")</f>
        <v>HSAF11</v>
      </c>
      <c r="B129" s="12">
        <f>IFERROR(__xludf.DUMMYFUNCTION("""COMPUTED_VALUE"""),15)</f>
        <v>15</v>
      </c>
      <c r="C129" s="26">
        <f>IFERROR(__xludf.DUMMYFUNCTION("""COMPUTED_VALUE"""),1291.88999999999)</f>
        <v>1291.88999999999</v>
      </c>
      <c r="D129" s="27">
        <f>IFERROR(__xludf.DUMMYFUNCTION("""COMPUTED_VALUE"""),45167)</f>
        <v>45167</v>
      </c>
      <c r="H129" s="29"/>
      <c r="I129" s="12"/>
      <c r="J129" s="34"/>
      <c r="N129" s="12"/>
      <c r="O129" s="12"/>
    </row>
    <row r="130" ht="12.75" spans="1:15">
      <c r="A130" s="12" t="str">
        <f>IFERROR(__xludf.DUMMYFUNCTION("""COMPUTED_VALUE"""),"HSAF11")</f>
        <v>HSAF11</v>
      </c>
      <c r="B130" s="12">
        <f>IFERROR(__xludf.DUMMYFUNCTION("""COMPUTED_VALUE"""),10)</f>
        <v>10</v>
      </c>
      <c r="C130" s="26">
        <f>IFERROR(__xludf.DUMMYFUNCTION("""COMPUTED_VALUE"""),864.66)</f>
        <v>864.66</v>
      </c>
      <c r="D130" s="27">
        <f>IFERROR(__xludf.DUMMYFUNCTION("""COMPUTED_VALUE"""),45161)</f>
        <v>45161</v>
      </c>
      <c r="H130" s="29"/>
      <c r="I130" s="12"/>
      <c r="J130" s="34"/>
      <c r="N130" s="12"/>
      <c r="O130" s="12"/>
    </row>
    <row r="131" ht="12.75" spans="1:15">
      <c r="A131" s="12" t="str">
        <f>IFERROR(__xludf.DUMMYFUNCTION("""COMPUTED_VALUE"""),"BARI11")</f>
        <v>BARI11</v>
      </c>
      <c r="B131" s="12">
        <f>IFERROR(__xludf.DUMMYFUNCTION("""COMPUTED_VALUE"""),10)</f>
        <v>10</v>
      </c>
      <c r="C131" s="26">
        <f>IFERROR(__xludf.DUMMYFUNCTION("""COMPUTED_VALUE"""),865.27)</f>
        <v>865.27</v>
      </c>
      <c r="D131" s="27">
        <f>IFERROR(__xludf.DUMMYFUNCTION("""COMPUTED_VALUE"""),45161)</f>
        <v>45161</v>
      </c>
      <c r="H131" s="29"/>
      <c r="I131" s="12"/>
      <c r="J131" s="34"/>
      <c r="N131" s="12"/>
      <c r="O131" s="12"/>
    </row>
    <row r="132" ht="12.75" spans="1:15">
      <c r="A132" s="12" t="str">
        <f>IFERROR(__xludf.DUMMYFUNCTION("""COMPUTED_VALUE"""),"BARI11")</f>
        <v>BARI11</v>
      </c>
      <c r="B132" s="12">
        <f>IFERROR(__xludf.DUMMYFUNCTION("""COMPUTED_VALUE"""),10)</f>
        <v>10</v>
      </c>
      <c r="C132" s="26">
        <f>IFERROR(__xludf.DUMMYFUNCTION("""COMPUTED_VALUE"""),877.25)</f>
        <v>877.25</v>
      </c>
      <c r="D132" s="27">
        <f>IFERROR(__xludf.DUMMYFUNCTION("""COMPUTED_VALUE"""),45147)</f>
        <v>45147</v>
      </c>
      <c r="H132" s="29"/>
      <c r="I132" s="12"/>
      <c r="J132" s="34"/>
      <c r="N132" s="12"/>
      <c r="O132" s="12"/>
    </row>
    <row r="133" ht="12.75" spans="1:15">
      <c r="A133" s="12" t="str">
        <f>IFERROR(__xludf.DUMMYFUNCTION("""COMPUTED_VALUE"""),"HCTR11")</f>
        <v>HCTR11</v>
      </c>
      <c r="B133" s="12">
        <f>IFERROR(__xludf.DUMMYFUNCTION("""COMPUTED_VALUE"""),-120)</f>
        <v>-120</v>
      </c>
      <c r="C133" s="26">
        <f>IFERROR(__xludf.DUMMYFUNCTION("""COMPUTED_VALUE"""),-6491.04999999999)</f>
        <v>-6491.04999999999</v>
      </c>
      <c r="D133" s="27">
        <f>IFERROR(__xludf.DUMMYFUNCTION("""COMPUTED_VALUE"""),45138)</f>
        <v>45138</v>
      </c>
      <c r="H133" s="29"/>
      <c r="I133" s="12"/>
      <c r="J133" s="34"/>
      <c r="N133" s="12"/>
      <c r="O133" s="12"/>
    </row>
    <row r="134" ht="12.75" spans="1:15">
      <c r="A134" s="12" t="str">
        <f>IFERROR(__xludf.DUMMYFUNCTION("""COMPUTED_VALUE"""),"HCTR11")</f>
        <v>HCTR11</v>
      </c>
      <c r="B134" s="12">
        <f>IFERROR(__xludf.DUMMYFUNCTION("""COMPUTED_VALUE"""),20)</f>
        <v>20</v>
      </c>
      <c r="C134" s="26">
        <f>IFERROR(__xludf.DUMMYFUNCTION("""COMPUTED_VALUE"""),1083.31)</f>
        <v>1083.31</v>
      </c>
      <c r="D134" s="27">
        <f>IFERROR(__xludf.DUMMYFUNCTION("""COMPUTED_VALUE"""),45138)</f>
        <v>45138</v>
      </c>
      <c r="H134" s="29"/>
      <c r="I134" s="12"/>
      <c r="J134" s="34"/>
      <c r="N134" s="12"/>
      <c r="O134" s="12"/>
    </row>
    <row r="135" ht="12.75" spans="1:15">
      <c r="A135" s="12" t="str">
        <f>IFERROR(__xludf.DUMMYFUNCTION("""COMPUTED_VALUE"""),"HSAF11")</f>
        <v>HSAF11</v>
      </c>
      <c r="B135" s="12">
        <f>IFERROR(__xludf.DUMMYFUNCTION("""COMPUTED_VALUE"""),60)</f>
        <v>60</v>
      </c>
      <c r="C135" s="26">
        <f>IFERROR(__xludf.DUMMYFUNCTION("""COMPUTED_VALUE"""),5302.53)</f>
        <v>5302.53</v>
      </c>
      <c r="D135" s="27">
        <f>IFERROR(__xludf.DUMMYFUNCTION("""COMPUTED_VALUE"""),45138)</f>
        <v>45138</v>
      </c>
      <c r="H135" s="29"/>
      <c r="I135" s="12"/>
      <c r="J135" s="34"/>
      <c r="N135" s="12"/>
      <c r="O135" s="12"/>
    </row>
    <row r="136" ht="12.75" spans="1:15">
      <c r="A136" s="12" t="str">
        <f>IFERROR(__xludf.DUMMYFUNCTION("""COMPUTED_VALUE"""),"BARI11")</f>
        <v>BARI11</v>
      </c>
      <c r="B136" s="12">
        <f>IFERROR(__xludf.DUMMYFUNCTION("""COMPUTED_VALUE"""),40)</f>
        <v>40</v>
      </c>
      <c r="C136" s="26">
        <f>IFERROR(__xludf.DUMMYFUNCTION("""COMPUTED_VALUE"""),3565.02999999999)</f>
        <v>3565.02999999999</v>
      </c>
      <c r="D136" s="27">
        <f>IFERROR(__xludf.DUMMYFUNCTION("""COMPUTED_VALUE"""),45138)</f>
        <v>45138</v>
      </c>
      <c r="H136" s="29"/>
      <c r="I136" s="12"/>
      <c r="J136" s="34"/>
      <c r="N136" s="12"/>
      <c r="O136" s="12"/>
    </row>
    <row r="137" ht="12.75" spans="1:15">
      <c r="A137" s="12" t="str">
        <f>IFERROR(__xludf.DUMMYFUNCTION("""COMPUTED_VALUE"""),"NCHB11")</f>
        <v>NCHB11</v>
      </c>
      <c r="B137" s="12">
        <f>IFERROR(__xludf.DUMMYFUNCTION("""COMPUTED_VALUE"""),135)</f>
        <v>135</v>
      </c>
      <c r="C137" s="26">
        <f>IFERROR(__xludf.DUMMYFUNCTION("""COMPUTED_VALUE"""),1263.37)</f>
        <v>1263.37</v>
      </c>
      <c r="D137" s="27">
        <f>IFERROR(__xludf.DUMMYFUNCTION("""COMPUTED_VALUE"""),45135)</f>
        <v>45135</v>
      </c>
      <c r="H137" s="29"/>
      <c r="I137" s="12"/>
      <c r="J137" s="34"/>
      <c r="N137" s="12"/>
      <c r="O137" s="12"/>
    </row>
    <row r="138" ht="12.75" spans="1:15">
      <c r="A138" s="12" t="str">
        <f>IFERROR(__xludf.DUMMYFUNCTION("""COMPUTED_VALUE"""),"VINO11")</f>
        <v>VINO11</v>
      </c>
      <c r="B138" s="12">
        <f>IFERROR(__xludf.DUMMYFUNCTION("""COMPUTED_VALUE"""),145)</f>
        <v>145</v>
      </c>
      <c r="C138" s="26">
        <f>IFERROR(__xludf.DUMMYFUNCTION("""COMPUTED_VALUE"""),1348.90999999999)</f>
        <v>1348.90999999999</v>
      </c>
      <c r="D138" s="27">
        <f>IFERROR(__xludf.DUMMYFUNCTION("""COMPUTED_VALUE"""),45128)</f>
        <v>45128</v>
      </c>
      <c r="H138" s="29"/>
      <c r="I138" s="12"/>
      <c r="J138" s="34"/>
      <c r="N138" s="12"/>
      <c r="O138" s="12"/>
    </row>
    <row r="139" ht="12.75" spans="1:15">
      <c r="A139" s="12" t="str">
        <f>IFERROR(__xludf.DUMMYFUNCTION("""COMPUTED_VALUE"""),"NCHB11")</f>
        <v>NCHB11</v>
      </c>
      <c r="B139" s="12">
        <f>IFERROR(__xludf.DUMMYFUNCTION("""COMPUTED_VALUE"""),99)</f>
        <v>99</v>
      </c>
      <c r="C139" s="26">
        <f>IFERROR(__xludf.DUMMYFUNCTION("""COMPUTED_VALUE"""),931.43)</f>
        <v>931.43</v>
      </c>
      <c r="D139" s="27">
        <f>IFERROR(__xludf.DUMMYFUNCTION("""COMPUTED_VALUE"""),45128)</f>
        <v>45128</v>
      </c>
      <c r="H139" s="29"/>
      <c r="I139" s="12"/>
      <c r="J139" s="34"/>
      <c r="N139" s="12"/>
      <c r="O139" s="12"/>
    </row>
    <row r="140" ht="12.75" spans="1:15">
      <c r="A140" s="12" t="str">
        <f>IFERROR(__xludf.DUMMYFUNCTION("""COMPUTED_VALUE"""),"MFII11")</f>
        <v>MFII11</v>
      </c>
      <c r="B140" s="12">
        <f>IFERROR(__xludf.DUMMYFUNCTION("""COMPUTED_VALUE"""),13)</f>
        <v>13</v>
      </c>
      <c r="C140" s="26">
        <f>IFERROR(__xludf.DUMMYFUNCTION("""COMPUTED_VALUE"""),1221.71)</f>
        <v>1221.71</v>
      </c>
      <c r="D140" s="27">
        <f>IFERROR(__xludf.DUMMYFUNCTION("""COMPUTED_VALUE"""),45128)</f>
        <v>45128</v>
      </c>
      <c r="H140" s="29"/>
      <c r="I140" s="12"/>
      <c r="J140" s="34"/>
      <c r="N140" s="12"/>
      <c r="O140" s="12"/>
    </row>
    <row r="141" ht="12.75" spans="1:15">
      <c r="A141" s="12" t="str">
        <f>IFERROR(__xludf.DUMMYFUNCTION("""COMPUTED_VALUE"""),"RBED11")</f>
        <v>RBED11</v>
      </c>
      <c r="B141" s="12">
        <f>IFERROR(__xludf.DUMMYFUNCTION("""COMPUTED_VALUE"""),17)</f>
        <v>17</v>
      </c>
      <c r="C141" s="26">
        <f>IFERROR(__xludf.DUMMYFUNCTION("""COMPUTED_VALUE"""),2040.43999999999)</f>
        <v>2040.43999999999</v>
      </c>
      <c r="D141" s="27">
        <f>IFERROR(__xludf.DUMMYFUNCTION("""COMPUTED_VALUE"""),45043)</f>
        <v>45043</v>
      </c>
      <c r="H141" s="29"/>
      <c r="I141" s="12"/>
      <c r="J141" s="34"/>
      <c r="N141" s="12"/>
      <c r="O141" s="12"/>
    </row>
    <row r="142" ht="12.75" spans="1:15">
      <c r="A142" s="12" t="str">
        <f>IFERROR(__xludf.DUMMYFUNCTION("""COMPUTED_VALUE"""),"NCHB11")</f>
        <v>NCHB11</v>
      </c>
      <c r="B142" s="12">
        <f>IFERROR(__xludf.DUMMYFUNCTION("""COMPUTED_VALUE"""),90)</f>
        <v>90</v>
      </c>
      <c r="C142" s="26">
        <f>IFERROR(__xludf.DUMMYFUNCTION("""COMPUTED_VALUE"""),770.22)</f>
        <v>770.22</v>
      </c>
      <c r="D142" s="27">
        <f>IFERROR(__xludf.DUMMYFUNCTION("""COMPUTED_VALUE"""),45041)</f>
        <v>45041</v>
      </c>
      <c r="H142" s="29"/>
      <c r="I142" s="12"/>
      <c r="J142" s="34"/>
      <c r="N142" s="12"/>
      <c r="O142" s="12"/>
    </row>
    <row r="143" ht="12.75" spans="1:15">
      <c r="A143" s="12" t="str">
        <f>IFERROR(__xludf.DUMMYFUNCTION("""COMPUTED_VALUE"""),"CVBI11")</f>
        <v>CVBI11</v>
      </c>
      <c r="B143" s="12">
        <f>IFERROR(__xludf.DUMMYFUNCTION("""COMPUTED_VALUE"""),10)</f>
        <v>10</v>
      </c>
      <c r="C143" s="26">
        <f>IFERROR(__xludf.DUMMYFUNCTION("""COMPUTED_VALUE"""),876.97)</f>
        <v>876.97</v>
      </c>
      <c r="D143" s="27">
        <f>IFERROR(__xludf.DUMMYFUNCTION("""COMPUTED_VALUE"""),45026)</f>
        <v>45026</v>
      </c>
      <c r="H143" s="29"/>
      <c r="I143" s="12"/>
      <c r="J143" s="34"/>
      <c r="N143" s="12"/>
      <c r="O143" s="12"/>
    </row>
    <row r="144" ht="12.75" spans="1:15">
      <c r="A144" s="12" t="str">
        <f>IFERROR(__xludf.DUMMYFUNCTION("""COMPUTED_VALUE"""),"MFII11")</f>
        <v>MFII11</v>
      </c>
      <c r="B144" s="12">
        <f>IFERROR(__xludf.DUMMYFUNCTION("""COMPUTED_VALUE"""),10)</f>
        <v>10</v>
      </c>
      <c r="C144" s="26">
        <f>IFERROR(__xludf.DUMMYFUNCTION("""COMPUTED_VALUE"""),877.68)</f>
        <v>877.68</v>
      </c>
      <c r="D144" s="27">
        <f>IFERROR(__xludf.DUMMYFUNCTION("""COMPUTED_VALUE"""),45026)</f>
        <v>45026</v>
      </c>
      <c r="H144" s="29"/>
      <c r="I144" s="12"/>
      <c r="J144" s="34"/>
      <c r="N144" s="12"/>
      <c r="O144" s="12"/>
    </row>
    <row r="145" ht="12.75" spans="1:15">
      <c r="A145" s="12" t="str">
        <f>IFERROR(__xludf.DUMMYFUNCTION("""COMPUTED_VALUE"""),"VGHF11")</f>
        <v>VGHF11</v>
      </c>
      <c r="B145" s="12">
        <f>IFERROR(__xludf.DUMMYFUNCTION("""COMPUTED_VALUE"""),150)</f>
        <v>150</v>
      </c>
      <c r="C145" s="26">
        <f>IFERROR(__xludf.DUMMYFUNCTION("""COMPUTED_VALUE"""),1321.88999999999)</f>
        <v>1321.88999999999</v>
      </c>
      <c r="D145" s="27">
        <f>IFERROR(__xludf.DUMMYFUNCTION("""COMPUTED_VALUE"""),45019)</f>
        <v>45019</v>
      </c>
      <c r="H145" s="29"/>
      <c r="I145" s="12"/>
      <c r="J145" s="34"/>
      <c r="N145" s="12"/>
      <c r="O145" s="12"/>
    </row>
    <row r="146" ht="12.75" spans="1:15">
      <c r="A146" s="12" t="str">
        <f>IFERROR(__xludf.DUMMYFUNCTION("""COMPUTED_VALUE"""),"RZTR11")</f>
        <v>RZTR11</v>
      </c>
      <c r="B146" s="12">
        <f>IFERROR(__xludf.DUMMYFUNCTION("""COMPUTED_VALUE"""),10)</f>
        <v>10</v>
      </c>
      <c r="C146" s="26">
        <f>IFERROR(__xludf.DUMMYFUNCTION("""COMPUTED_VALUE"""),825.25)</f>
        <v>825.25</v>
      </c>
      <c r="D146" s="27">
        <f>IFERROR(__xludf.DUMMYFUNCTION("""COMPUTED_VALUE"""),45019)</f>
        <v>45019</v>
      </c>
      <c r="H146" s="29"/>
      <c r="I146" s="12"/>
      <c r="J146" s="34"/>
      <c r="N146" s="12"/>
      <c r="O146" s="12"/>
    </row>
    <row r="147" ht="12.75" spans="1:15">
      <c r="A147" s="12" t="str">
        <f>IFERROR(__xludf.DUMMYFUNCTION("""COMPUTED_VALUE"""),"MFII11")</f>
        <v>MFII11</v>
      </c>
      <c r="B147" s="12">
        <f>IFERROR(__xludf.DUMMYFUNCTION("""COMPUTED_VALUE"""),10)</f>
        <v>10</v>
      </c>
      <c r="C147" s="26">
        <f>IFERROR(__xludf.DUMMYFUNCTION("""COMPUTED_VALUE"""),903.27)</f>
        <v>903.27</v>
      </c>
      <c r="D147" s="27">
        <f>IFERROR(__xludf.DUMMYFUNCTION("""COMPUTED_VALUE"""),45019)</f>
        <v>45019</v>
      </c>
      <c r="H147" s="29"/>
      <c r="I147" s="12"/>
      <c r="J147" s="34"/>
      <c r="N147" s="12"/>
      <c r="O147" s="12"/>
    </row>
    <row r="148" ht="12.75" spans="1:15">
      <c r="A148" s="12" t="str">
        <f>IFERROR(__xludf.DUMMYFUNCTION("""COMPUTED_VALUE"""),"BRCO11")</f>
        <v>BRCO11</v>
      </c>
      <c r="B148" s="12">
        <f>IFERROR(__xludf.DUMMYFUNCTION("""COMPUTED_VALUE"""),10)</f>
        <v>10</v>
      </c>
      <c r="C148" s="26">
        <f>IFERROR(__xludf.DUMMYFUNCTION("""COMPUTED_VALUE"""),901.76)</f>
        <v>901.76</v>
      </c>
      <c r="D148" s="27">
        <f>IFERROR(__xludf.DUMMYFUNCTION("""COMPUTED_VALUE"""),45008)</f>
        <v>45008</v>
      </c>
      <c r="H148" s="29"/>
      <c r="I148" s="12"/>
      <c r="J148" s="34"/>
      <c r="N148" s="12"/>
      <c r="O148" s="12"/>
    </row>
    <row r="149" ht="12.75" spans="1:15">
      <c r="A149" s="12" t="str">
        <f>IFERROR(__xludf.DUMMYFUNCTION("""COMPUTED_VALUE"""),"RZTR11")</f>
        <v>RZTR11</v>
      </c>
      <c r="B149" s="12">
        <f>IFERROR(__xludf.DUMMYFUNCTION("""COMPUTED_VALUE"""),10)</f>
        <v>10</v>
      </c>
      <c r="C149" s="26">
        <f>IFERROR(__xludf.DUMMYFUNCTION("""COMPUTED_VALUE"""),831.75)</f>
        <v>831.75</v>
      </c>
      <c r="D149" s="27">
        <f>IFERROR(__xludf.DUMMYFUNCTION("""COMPUTED_VALUE"""),44986)</f>
        <v>44986</v>
      </c>
      <c r="H149" s="29"/>
      <c r="I149" s="12"/>
      <c r="J149" s="34"/>
      <c r="N149" s="12"/>
      <c r="O149" s="12"/>
    </row>
    <row r="150" ht="12.75" spans="1:15">
      <c r="A150" s="12" t="str">
        <f>IFERROR(__xludf.DUMMYFUNCTION("""COMPUTED_VALUE"""),"HGBS11")</f>
        <v>HGBS11</v>
      </c>
      <c r="B150" s="12">
        <f>IFERROR(__xludf.DUMMYFUNCTION("""COMPUTED_VALUE"""),20)</f>
        <v>20</v>
      </c>
      <c r="C150" s="26">
        <f>IFERROR(__xludf.DUMMYFUNCTION("""COMPUTED_VALUE"""),3550.25)</f>
        <v>3550.25</v>
      </c>
      <c r="D150" s="27">
        <f>IFERROR(__xludf.DUMMYFUNCTION("""COMPUTED_VALUE"""),44986)</f>
        <v>44986</v>
      </c>
      <c r="H150" s="29"/>
      <c r="I150" s="12"/>
      <c r="J150" s="34"/>
      <c r="N150" s="12"/>
      <c r="O150" s="12"/>
    </row>
    <row r="151" ht="12.75" spans="1:15">
      <c r="A151" s="12" t="str">
        <f>IFERROR(__xludf.DUMMYFUNCTION("""COMPUTED_VALUE"""),"TGAR11")</f>
        <v>TGAR11</v>
      </c>
      <c r="B151" s="12">
        <f>IFERROR(__xludf.DUMMYFUNCTION("""COMPUTED_VALUE"""),20)</f>
        <v>20</v>
      </c>
      <c r="C151" s="26">
        <f>IFERROR(__xludf.DUMMYFUNCTION("""COMPUTED_VALUE"""),2264.71)</f>
        <v>2264.71</v>
      </c>
      <c r="D151" s="27">
        <f>IFERROR(__xludf.DUMMYFUNCTION("""COMPUTED_VALUE"""),44985)</f>
        <v>44985</v>
      </c>
      <c r="H151" s="29"/>
      <c r="I151" s="12"/>
      <c r="J151" s="34"/>
      <c r="N151" s="12"/>
      <c r="O151" s="12"/>
    </row>
    <row r="152" ht="12.75" spans="1:15">
      <c r="A152" s="12" t="str">
        <f>IFERROR(__xludf.DUMMYFUNCTION("""COMPUTED_VALUE"""),"BRCO11")</f>
        <v>BRCO11</v>
      </c>
      <c r="B152" s="12">
        <f>IFERROR(__xludf.DUMMYFUNCTION("""COMPUTED_VALUE"""),25)</f>
        <v>25</v>
      </c>
      <c r="C152" s="26">
        <f>IFERROR(__xludf.DUMMYFUNCTION("""COMPUTED_VALUE"""),2318.18)</f>
        <v>2318.18</v>
      </c>
      <c r="D152" s="27">
        <f>IFERROR(__xludf.DUMMYFUNCTION("""COMPUTED_VALUE"""),44984)</f>
        <v>44984</v>
      </c>
      <c r="H152" s="29"/>
      <c r="I152" s="12"/>
      <c r="J152" s="34"/>
      <c r="N152" s="12"/>
      <c r="O152" s="12"/>
    </row>
    <row r="153" ht="12.75" spans="1:15">
      <c r="A153" s="12" t="str">
        <f>IFERROR(__xludf.DUMMYFUNCTION("""COMPUTED_VALUE"""),"CPTI11")</f>
        <v>CPTI11</v>
      </c>
      <c r="B153" s="12">
        <f>IFERROR(__xludf.DUMMYFUNCTION("""COMPUTED_VALUE"""),10)</f>
        <v>10</v>
      </c>
      <c r="C153" s="26">
        <f>IFERROR(__xludf.DUMMYFUNCTION("""COMPUTED_VALUE"""),953.77)</f>
        <v>953.77</v>
      </c>
      <c r="D153" s="27">
        <f>IFERROR(__xludf.DUMMYFUNCTION("""COMPUTED_VALUE"""),44981)</f>
        <v>44981</v>
      </c>
      <c r="H153" s="29"/>
      <c r="I153" s="12"/>
      <c r="J153" s="34"/>
      <c r="N153" s="12"/>
      <c r="O153" s="12"/>
    </row>
    <row r="154" ht="12.75" spans="1:15">
      <c r="A154" s="12" t="str">
        <f>IFERROR(__xludf.DUMMYFUNCTION("""COMPUTED_VALUE"""),"BTLG11")</f>
        <v>BTLG11</v>
      </c>
      <c r="B154" s="12">
        <f>IFERROR(__xludf.DUMMYFUNCTION("""COMPUTED_VALUE"""),25)</f>
        <v>25</v>
      </c>
      <c r="C154" s="26">
        <f>IFERROR(__xludf.DUMMYFUNCTION("""COMPUTED_VALUE"""),2299.93)</f>
        <v>2299.93</v>
      </c>
      <c r="D154" s="27">
        <f>IFERROR(__xludf.DUMMYFUNCTION("""COMPUTED_VALUE"""),44980)</f>
        <v>44980</v>
      </c>
      <c r="H154" s="29"/>
      <c r="I154" s="12"/>
      <c r="J154" s="34"/>
      <c r="N154" s="12"/>
      <c r="O154" s="12"/>
    </row>
    <row r="155" ht="12.75" spans="1:15">
      <c r="A155" s="12" t="str">
        <f>IFERROR(__xludf.DUMMYFUNCTION("""COMPUTED_VALUE"""),"NCHB11")</f>
        <v>NCHB11</v>
      </c>
      <c r="B155" s="12">
        <f>IFERROR(__xludf.DUMMYFUNCTION("""COMPUTED_VALUE"""),90)</f>
        <v>90</v>
      </c>
      <c r="C155" s="26">
        <f>IFERROR(__xludf.DUMMYFUNCTION("""COMPUTED_VALUE"""),832.25)</f>
        <v>832.25</v>
      </c>
      <c r="D155" s="27">
        <f>IFERROR(__xludf.DUMMYFUNCTION("""COMPUTED_VALUE"""),44980)</f>
        <v>44980</v>
      </c>
      <c r="H155" s="29"/>
      <c r="I155" s="12"/>
      <c r="J155" s="34"/>
      <c r="N155" s="12"/>
      <c r="O155" s="12"/>
    </row>
    <row r="156" ht="12.75" spans="1:15">
      <c r="A156" s="12" t="str">
        <f>IFERROR(__xludf.DUMMYFUNCTION("""COMPUTED_VALUE"""),"BRCO11")</f>
        <v>BRCO11</v>
      </c>
      <c r="B156" s="12">
        <f>IFERROR(__xludf.DUMMYFUNCTION("""COMPUTED_VALUE"""),15)</f>
        <v>15</v>
      </c>
      <c r="C156" s="26">
        <f>IFERROR(__xludf.DUMMYFUNCTION("""COMPUTED_VALUE"""),1396.15999999999)</f>
        <v>1396.15999999999</v>
      </c>
      <c r="D156" s="27">
        <f>IFERROR(__xludf.DUMMYFUNCTION("""COMPUTED_VALUE"""),44979)</f>
        <v>44979</v>
      </c>
      <c r="H156" s="29"/>
      <c r="I156" s="12"/>
      <c r="J156" s="34"/>
      <c r="N156" s="12"/>
      <c r="O156" s="12"/>
    </row>
    <row r="157" ht="12.75" spans="1:15">
      <c r="A157" s="12" t="str">
        <f>IFERROR(__xludf.DUMMYFUNCTION("""COMPUTED_VALUE"""),"NCHB11")</f>
        <v>NCHB11</v>
      </c>
      <c r="B157" s="12">
        <f>IFERROR(__xludf.DUMMYFUNCTION("""COMPUTED_VALUE"""),90)</f>
        <v>90</v>
      </c>
      <c r="C157" s="26">
        <f>IFERROR(__xludf.DUMMYFUNCTION("""COMPUTED_VALUE"""),838.249999999999)</f>
        <v>838.249999999999</v>
      </c>
      <c r="D157" s="27">
        <f>IFERROR(__xludf.DUMMYFUNCTION("""COMPUTED_VALUE"""),44979)</f>
        <v>44979</v>
      </c>
      <c r="H157" s="29"/>
      <c r="I157" s="12"/>
      <c r="J157" s="34"/>
      <c r="N157" s="12"/>
      <c r="O157" s="12"/>
    </row>
    <row r="158" ht="12.75" spans="1:15">
      <c r="A158" s="12" t="str">
        <f>IFERROR(__xludf.DUMMYFUNCTION("""COMPUTED_VALUE"""),"RZTR11")</f>
        <v>RZTR11</v>
      </c>
      <c r="B158" s="12">
        <f>IFERROR(__xludf.DUMMYFUNCTION("""COMPUTED_VALUE"""),15)</f>
        <v>15</v>
      </c>
      <c r="C158" s="26">
        <f>IFERROR(__xludf.DUMMYFUNCTION("""COMPUTED_VALUE"""),1215.36)</f>
        <v>1215.36</v>
      </c>
      <c r="D158" s="27">
        <f>IFERROR(__xludf.DUMMYFUNCTION("""COMPUTED_VALUE"""),44967)</f>
        <v>44967</v>
      </c>
      <c r="H158" s="29"/>
      <c r="I158" s="12"/>
      <c r="J158" s="34"/>
      <c r="N158" s="12"/>
      <c r="O158" s="12"/>
    </row>
    <row r="159" ht="12.75" spans="1:15">
      <c r="A159" s="12" t="str">
        <f>IFERROR(__xludf.DUMMYFUNCTION("""COMPUTED_VALUE"""),"NCHB11")</f>
        <v>NCHB11</v>
      </c>
      <c r="B159" s="12">
        <f>IFERROR(__xludf.DUMMYFUNCTION("""COMPUTED_VALUE"""),135)</f>
        <v>135</v>
      </c>
      <c r="C159" s="26">
        <f>IFERROR(__xludf.DUMMYFUNCTION("""COMPUTED_VALUE"""),1252.87)</f>
        <v>1252.87</v>
      </c>
      <c r="D159" s="27">
        <f>IFERROR(__xludf.DUMMYFUNCTION("""COMPUTED_VALUE"""),44967)</f>
        <v>44967</v>
      </c>
      <c r="H159" s="29"/>
      <c r="I159" s="12"/>
      <c r="J159" s="34"/>
      <c r="N159" s="12"/>
      <c r="O159" s="12"/>
    </row>
    <row r="160" ht="12.75" spans="1:15">
      <c r="A160" s="12" t="str">
        <f>IFERROR(__xludf.DUMMYFUNCTION("""COMPUTED_VALUE"""),"NCHB11")</f>
        <v>NCHB11</v>
      </c>
      <c r="B160" s="12">
        <f>IFERROR(__xludf.DUMMYFUNCTION("""COMPUTED_VALUE"""),90)</f>
        <v>90</v>
      </c>
      <c r="C160" s="26">
        <f>IFERROR(__xludf.DUMMYFUNCTION("""COMPUTED_VALUE"""),864.55)</f>
        <v>864.55</v>
      </c>
      <c r="D160" s="27">
        <f>IFERROR(__xludf.DUMMYFUNCTION("""COMPUTED_VALUE"""),44964)</f>
        <v>44964</v>
      </c>
      <c r="H160" s="29"/>
      <c r="I160" s="12"/>
      <c r="J160" s="34"/>
      <c r="N160" s="12"/>
      <c r="O160" s="12"/>
    </row>
    <row r="161" ht="12.75" spans="1:15">
      <c r="A161" s="12" t="str">
        <f>IFERROR(__xludf.DUMMYFUNCTION("""COMPUTED_VALUE"""),"LVBI11")</f>
        <v>LVBI11</v>
      </c>
      <c r="B161" s="12">
        <f>IFERROR(__xludf.DUMMYFUNCTION("""COMPUTED_VALUE"""),15)</f>
        <v>15</v>
      </c>
      <c r="C161" s="26">
        <f>IFERROR(__xludf.DUMMYFUNCTION("""COMPUTED_VALUE"""),1417.91999999999)</f>
        <v>1417.91999999999</v>
      </c>
      <c r="D161" s="27">
        <f>IFERROR(__xludf.DUMMYFUNCTION("""COMPUTED_VALUE"""),44945)</f>
        <v>44945</v>
      </c>
      <c r="H161" s="29"/>
      <c r="I161" s="12"/>
      <c r="J161" s="34"/>
      <c r="N161" s="12"/>
      <c r="O161" s="12"/>
    </row>
    <row r="162" ht="12.75" spans="1:15">
      <c r="A162" s="12" t="str">
        <f>IFERROR(__xludf.DUMMYFUNCTION("""COMPUTED_VALUE"""),"MCCI11")</f>
        <v>MCCI11</v>
      </c>
      <c r="B162" s="12">
        <f>IFERROR(__xludf.DUMMYFUNCTION("""COMPUTED_VALUE"""),20)</f>
        <v>20</v>
      </c>
      <c r="C162" s="26">
        <f>IFERROR(__xludf.DUMMYFUNCTION("""COMPUTED_VALUE"""),1781.52)</f>
        <v>1781.52</v>
      </c>
      <c r="D162" s="27">
        <f>IFERROR(__xludf.DUMMYFUNCTION("""COMPUTED_VALUE"""),44943)</f>
        <v>44943</v>
      </c>
      <c r="H162" s="29"/>
      <c r="I162" s="12"/>
      <c r="J162" s="34"/>
      <c r="N162" s="12"/>
      <c r="O162" s="12"/>
    </row>
    <row r="163" ht="12.75" spans="1:15">
      <c r="A163" s="12" t="str">
        <f>IFERROR(__xludf.DUMMYFUNCTION("""COMPUTED_VALUE"""),"PVBI11")</f>
        <v>PVBI11</v>
      </c>
      <c r="B163" s="12">
        <f>IFERROR(__xludf.DUMMYFUNCTION("""COMPUTED_VALUE"""),10)</f>
        <v>10</v>
      </c>
      <c r="C163" s="26">
        <f>IFERROR(__xludf.DUMMYFUNCTION("""COMPUTED_VALUE"""),870.26)</f>
        <v>870.26</v>
      </c>
      <c r="D163" s="27">
        <f>IFERROR(__xludf.DUMMYFUNCTION("""COMPUTED_VALUE"""),44935)</f>
        <v>44935</v>
      </c>
      <c r="H163" s="29"/>
      <c r="I163" s="12"/>
      <c r="J163" s="34"/>
      <c r="N163" s="12"/>
      <c r="O163" s="12"/>
    </row>
    <row r="164" ht="12.75" spans="1:15">
      <c r="A164" s="12" t="str">
        <f>IFERROR(__xludf.DUMMYFUNCTION("""COMPUTED_VALUE"""),"HGBS11")</f>
        <v>HGBS11</v>
      </c>
      <c r="B164" s="12">
        <f>IFERROR(__xludf.DUMMYFUNCTION("""COMPUTED_VALUE"""),5)</f>
        <v>5</v>
      </c>
      <c r="C164" s="26">
        <f>IFERROR(__xludf.DUMMYFUNCTION("""COMPUTED_VALUE"""),902.51)</f>
        <v>902.51</v>
      </c>
      <c r="D164" s="27">
        <f>IFERROR(__xludf.DUMMYFUNCTION("""COMPUTED_VALUE"""),44935)</f>
        <v>44935</v>
      </c>
      <c r="H164" s="29"/>
      <c r="I164" s="12"/>
      <c r="J164" s="34"/>
      <c r="N164" s="12"/>
      <c r="O164" s="12"/>
    </row>
    <row r="165" ht="12.75" spans="1:15">
      <c r="A165" s="12" t="str">
        <f>IFERROR(__xludf.DUMMYFUNCTION("""COMPUTED_VALUE"""),"NCHB11")</f>
        <v>NCHB11</v>
      </c>
      <c r="B165" s="12">
        <f>IFERROR(__xludf.DUMMYFUNCTION("""COMPUTED_VALUE"""),81)</f>
        <v>81</v>
      </c>
      <c r="C165" s="26">
        <f>IFERROR(__xludf.DUMMYFUNCTION("""COMPUTED_VALUE"""),763.42)</f>
        <v>763.42</v>
      </c>
      <c r="D165" s="27">
        <f>IFERROR(__xludf.DUMMYFUNCTION("""COMPUTED_VALUE"""),44915)</f>
        <v>44915</v>
      </c>
      <c r="H165" s="29"/>
      <c r="I165" s="12"/>
      <c r="J165" s="34"/>
      <c r="N165" s="12"/>
      <c r="O165" s="12"/>
    </row>
    <row r="166" ht="12.75" spans="1:15">
      <c r="A166" s="12" t="str">
        <f>IFERROR(__xludf.DUMMYFUNCTION("""COMPUTED_VALUE"""),"RZAT11")</f>
        <v>RZAT11</v>
      </c>
      <c r="B166" s="12">
        <f>IFERROR(__xludf.DUMMYFUNCTION("""COMPUTED_VALUE"""),10)</f>
        <v>10</v>
      </c>
      <c r="C166" s="26">
        <f>IFERROR(__xludf.DUMMYFUNCTION("""COMPUTED_VALUE"""),860.25)</f>
        <v>860.25</v>
      </c>
      <c r="D166" s="27">
        <f>IFERROR(__xludf.DUMMYFUNCTION("""COMPUTED_VALUE"""),44914)</f>
        <v>44914</v>
      </c>
      <c r="H166" s="29"/>
      <c r="I166" s="12"/>
      <c r="J166" s="34"/>
      <c r="N166" s="12"/>
      <c r="O166" s="12"/>
    </row>
    <row r="167" ht="12.75" spans="1:15">
      <c r="A167" s="12" t="str">
        <f>IFERROR(__xludf.DUMMYFUNCTION("""COMPUTED_VALUE"""),"RZTR11")</f>
        <v>RZTR11</v>
      </c>
      <c r="B167" s="12">
        <f>IFERROR(__xludf.DUMMYFUNCTION("""COMPUTED_VALUE"""),10)</f>
        <v>10</v>
      </c>
      <c r="C167" s="26">
        <f>IFERROR(__xludf.DUMMYFUNCTION("""COMPUTED_VALUE"""),934.27)</f>
        <v>934.27</v>
      </c>
      <c r="D167" s="27">
        <f>IFERROR(__xludf.DUMMYFUNCTION("""COMPUTED_VALUE"""),44910)</f>
        <v>44910</v>
      </c>
      <c r="H167" s="29"/>
      <c r="I167" s="12"/>
      <c r="J167" s="34"/>
      <c r="N167" s="12"/>
      <c r="O167" s="12"/>
    </row>
    <row r="168" ht="12.75" spans="1:15">
      <c r="A168" s="12" t="str">
        <f>IFERROR(__xludf.DUMMYFUNCTION("""COMPUTED_VALUE"""),"NCHB11")</f>
        <v>NCHB11</v>
      </c>
      <c r="B168" s="12">
        <f>IFERROR(__xludf.DUMMYFUNCTION("""COMPUTED_VALUE"""),90)</f>
        <v>90</v>
      </c>
      <c r="C168" s="26">
        <f>IFERROR(__xludf.DUMMYFUNCTION("""COMPUTED_VALUE"""),874.76)</f>
        <v>874.76</v>
      </c>
      <c r="D168" s="27">
        <f>IFERROR(__xludf.DUMMYFUNCTION("""COMPUTED_VALUE"""),44910)</f>
        <v>44910</v>
      </c>
      <c r="H168" s="29"/>
      <c r="I168" s="12"/>
      <c r="J168" s="34"/>
      <c r="N168" s="12"/>
      <c r="O168" s="12"/>
    </row>
    <row r="169" ht="12.75" spans="1:15">
      <c r="A169" s="12" t="str">
        <f>IFERROR(__xludf.DUMMYFUNCTION("""COMPUTED_VALUE"""),"BTLG11")</f>
        <v>BTLG11</v>
      </c>
      <c r="B169" s="12">
        <f>IFERROR(__xludf.DUMMYFUNCTION("""COMPUTED_VALUE"""),10)</f>
        <v>10</v>
      </c>
      <c r="C169" s="26">
        <f>IFERROR(__xludf.DUMMYFUNCTION("""COMPUTED_VALUE"""),962.29)</f>
        <v>962.29</v>
      </c>
      <c r="D169" s="27">
        <f>IFERROR(__xludf.DUMMYFUNCTION("""COMPUTED_VALUE"""),44910)</f>
        <v>44910</v>
      </c>
      <c r="H169" s="29"/>
      <c r="I169" s="12"/>
      <c r="J169" s="34"/>
      <c r="N169" s="12"/>
      <c r="O169" s="12"/>
    </row>
    <row r="170" ht="12.75" spans="1:15">
      <c r="A170" s="12" t="str">
        <f>IFERROR(__xludf.DUMMYFUNCTION("""COMPUTED_VALUE"""),"RZAT11")</f>
        <v>RZAT11</v>
      </c>
      <c r="B170" s="12">
        <f>IFERROR(__xludf.DUMMYFUNCTION("""COMPUTED_VALUE"""),10)</f>
        <v>10</v>
      </c>
      <c r="C170" s="26">
        <f>IFERROR(__xludf.DUMMYFUNCTION("""COMPUTED_VALUE"""),897.26)</f>
        <v>897.26</v>
      </c>
      <c r="D170" s="27">
        <f>IFERROR(__xludf.DUMMYFUNCTION("""COMPUTED_VALUE"""),44909)</f>
        <v>44909</v>
      </c>
      <c r="H170" s="29"/>
      <c r="I170" s="12"/>
      <c r="J170" s="34"/>
      <c r="N170" s="12"/>
      <c r="O170" s="12"/>
    </row>
    <row r="171" ht="12.75" spans="1:15">
      <c r="A171" s="12" t="str">
        <f>IFERROR(__xludf.DUMMYFUNCTION("""COMPUTED_VALUE"""),"MFII11")</f>
        <v>MFII11</v>
      </c>
      <c r="B171" s="12">
        <f>IFERROR(__xludf.DUMMYFUNCTION("""COMPUTED_VALUE"""),10)</f>
        <v>10</v>
      </c>
      <c r="C171" s="26">
        <f>IFERROR(__xludf.DUMMYFUNCTION("""COMPUTED_VALUE"""),925.28)</f>
        <v>925.28</v>
      </c>
      <c r="D171" s="27">
        <f>IFERROR(__xludf.DUMMYFUNCTION("""COMPUTED_VALUE"""),44909)</f>
        <v>44909</v>
      </c>
      <c r="H171" s="29"/>
      <c r="I171" s="12"/>
      <c r="J171" s="34"/>
      <c r="N171" s="12"/>
      <c r="O171" s="12"/>
    </row>
    <row r="172" ht="12.75" spans="1:15">
      <c r="A172" s="12" t="str">
        <f>IFERROR(__xludf.DUMMYFUNCTION("""COMPUTED_VALUE"""),"PVBI11")</f>
        <v>PVBI11</v>
      </c>
      <c r="B172" s="12">
        <f>IFERROR(__xludf.DUMMYFUNCTION("""COMPUTED_VALUE"""),10)</f>
        <v>10</v>
      </c>
      <c r="C172" s="26">
        <f>IFERROR(__xludf.DUMMYFUNCTION("""COMPUTED_VALUE"""),905.76)</f>
        <v>905.76</v>
      </c>
      <c r="D172" s="27">
        <f>IFERROR(__xludf.DUMMYFUNCTION("""COMPUTED_VALUE"""),44908)</f>
        <v>44908</v>
      </c>
      <c r="H172" s="29"/>
      <c r="I172" s="12"/>
      <c r="J172" s="34"/>
      <c r="N172" s="12"/>
      <c r="O172" s="12"/>
    </row>
    <row r="173" ht="12.75" spans="1:15">
      <c r="A173" s="12" t="str">
        <f>IFERROR(__xludf.DUMMYFUNCTION("""COMPUTED_VALUE"""),"NCHB11")</f>
        <v>NCHB11</v>
      </c>
      <c r="B173" s="12">
        <f>IFERROR(__xludf.DUMMYFUNCTION("""COMPUTED_VALUE"""),90)</f>
        <v>90</v>
      </c>
      <c r="C173" s="26">
        <f>IFERROR(__xludf.DUMMYFUNCTION("""COMPUTED_VALUE"""),903.26)</f>
        <v>903.26</v>
      </c>
      <c r="D173" s="27">
        <f>IFERROR(__xludf.DUMMYFUNCTION("""COMPUTED_VALUE"""),44907)</f>
        <v>44907</v>
      </c>
      <c r="H173" s="29"/>
      <c r="I173" s="12"/>
      <c r="J173" s="34"/>
      <c r="N173" s="12"/>
      <c r="O173" s="12"/>
    </row>
    <row r="174" ht="12.75" spans="1:15">
      <c r="A174" s="12" t="str">
        <f>IFERROR(__xludf.DUMMYFUNCTION("""COMPUTED_VALUE"""),"MFII11")</f>
        <v>MFII11</v>
      </c>
      <c r="B174" s="12">
        <f>IFERROR(__xludf.DUMMYFUNCTION("""COMPUTED_VALUE"""),10)</f>
        <v>10</v>
      </c>
      <c r="C174" s="26">
        <f>IFERROR(__xludf.DUMMYFUNCTION("""COMPUTED_VALUE"""),934.28)</f>
        <v>934.28</v>
      </c>
      <c r="D174" s="27">
        <f>IFERROR(__xludf.DUMMYFUNCTION("""COMPUTED_VALUE"""),44907)</f>
        <v>44907</v>
      </c>
      <c r="H174" s="29"/>
      <c r="I174" s="12"/>
      <c r="J174" s="34"/>
      <c r="N174" s="12"/>
      <c r="O174" s="12"/>
    </row>
    <row r="175" ht="12.75" spans="1:15">
      <c r="A175" s="12" t="str">
        <f>IFERROR(__xludf.DUMMYFUNCTION("""COMPUTED_VALUE"""),"MFII11")</f>
        <v>MFII11</v>
      </c>
      <c r="B175" s="12">
        <f>IFERROR(__xludf.DUMMYFUNCTION("""COMPUTED_VALUE"""),10)</f>
        <v>10</v>
      </c>
      <c r="C175" s="26">
        <f>IFERROR(__xludf.DUMMYFUNCTION("""COMPUTED_VALUE"""),935.27)</f>
        <v>935.27</v>
      </c>
      <c r="D175" s="27">
        <f>IFERROR(__xludf.DUMMYFUNCTION("""COMPUTED_VALUE"""),44903)</f>
        <v>44903</v>
      </c>
      <c r="H175" s="29"/>
      <c r="I175" s="12"/>
      <c r="J175" s="34"/>
      <c r="N175" s="12"/>
      <c r="O175" s="12"/>
    </row>
    <row r="176" ht="12.75" spans="1:15">
      <c r="A176" s="12" t="str">
        <f>IFERROR(__xludf.DUMMYFUNCTION("""COMPUTED_VALUE"""),"BRCO11")</f>
        <v>BRCO11</v>
      </c>
      <c r="B176" s="12">
        <f>IFERROR(__xludf.DUMMYFUNCTION("""COMPUTED_VALUE"""),10)</f>
        <v>10</v>
      </c>
      <c r="C176" s="26">
        <f>IFERROR(__xludf.DUMMYFUNCTION("""COMPUTED_VALUE"""),999.3)</f>
        <v>999.3</v>
      </c>
      <c r="D176" s="27">
        <f>IFERROR(__xludf.DUMMYFUNCTION("""COMPUTED_VALUE"""),44903)</f>
        <v>44903</v>
      </c>
      <c r="H176" s="29"/>
      <c r="I176" s="12"/>
      <c r="J176" s="34"/>
      <c r="N176" s="12"/>
      <c r="O176" s="12"/>
    </row>
    <row r="177" ht="12.75" spans="1:15">
      <c r="A177" s="12" t="str">
        <f>IFERROR(__xludf.DUMMYFUNCTION("""COMPUTED_VALUE"""),"CPTI11")</f>
        <v>CPTI11</v>
      </c>
      <c r="B177" s="12">
        <f>IFERROR(__xludf.DUMMYFUNCTION("""COMPUTED_VALUE"""),10)</f>
        <v>10</v>
      </c>
      <c r="C177" s="26">
        <f>IFERROR(__xludf.DUMMYFUNCTION("""COMPUTED_VALUE"""),985.3)</f>
        <v>985.3</v>
      </c>
      <c r="D177" s="27">
        <f>IFERROR(__xludf.DUMMYFUNCTION("""COMPUTED_VALUE"""),44901)</f>
        <v>44901</v>
      </c>
      <c r="H177" s="29"/>
      <c r="I177" s="12"/>
      <c r="J177" s="34"/>
      <c r="N177" s="12"/>
      <c r="O177" s="12"/>
    </row>
    <row r="178" ht="12.75" spans="1:15">
      <c r="A178" s="12" t="str">
        <f>IFERROR(__xludf.DUMMYFUNCTION("""COMPUTED_VALUE"""),"RZTR11")</f>
        <v>RZTR11</v>
      </c>
      <c r="B178" s="12">
        <f>IFERROR(__xludf.DUMMYFUNCTION("""COMPUTED_VALUE"""),10)</f>
        <v>10</v>
      </c>
      <c r="C178" s="26">
        <f>IFERROR(__xludf.DUMMYFUNCTION("""COMPUTED_VALUE"""),975.78)</f>
        <v>975.78</v>
      </c>
      <c r="D178" s="27">
        <f>IFERROR(__xludf.DUMMYFUNCTION("""COMPUTED_VALUE"""),44901)</f>
        <v>44901</v>
      </c>
      <c r="H178" s="29"/>
      <c r="I178" s="12"/>
      <c r="J178" s="34"/>
      <c r="N178" s="12"/>
      <c r="O178" s="12"/>
    </row>
    <row r="179" ht="12.75" spans="1:15">
      <c r="A179" s="12" t="str">
        <f>IFERROR(__xludf.DUMMYFUNCTION("""COMPUTED_VALUE"""),"PVBI11")</f>
        <v>PVBI11</v>
      </c>
      <c r="B179" s="12">
        <f>IFERROR(__xludf.DUMMYFUNCTION("""COMPUTED_VALUE"""),10)</f>
        <v>10</v>
      </c>
      <c r="C179" s="26">
        <f>IFERROR(__xludf.DUMMYFUNCTION("""COMPUTED_VALUE"""),905.26)</f>
        <v>905.26</v>
      </c>
      <c r="D179" s="27">
        <f>IFERROR(__xludf.DUMMYFUNCTION("""COMPUTED_VALUE"""),44900)</f>
        <v>44900</v>
      </c>
      <c r="H179" s="29"/>
      <c r="I179" s="12"/>
      <c r="J179" s="34"/>
      <c r="N179" s="12"/>
      <c r="O179" s="12"/>
    </row>
    <row r="180" ht="12.75" spans="1:15">
      <c r="A180" s="12" t="str">
        <f>IFERROR(__xludf.DUMMYFUNCTION("""COMPUTED_VALUE"""),"CVBI11")</f>
        <v>CVBI11</v>
      </c>
      <c r="B180" s="12">
        <f>IFERROR(__xludf.DUMMYFUNCTION("""COMPUTED_VALUE"""),15)</f>
        <v>15</v>
      </c>
      <c r="C180" s="26">
        <f>IFERROR(__xludf.DUMMYFUNCTION("""COMPUTED_VALUE"""),1316.63999999999)</f>
        <v>1316.63999999999</v>
      </c>
      <c r="D180" s="27">
        <f>IFERROR(__xludf.DUMMYFUNCTION("""COMPUTED_VALUE"""),44895)</f>
        <v>44895</v>
      </c>
      <c r="H180" s="29"/>
      <c r="I180" s="12"/>
      <c r="J180" s="34"/>
      <c r="N180" s="12"/>
      <c r="O180" s="12"/>
    </row>
    <row r="181" ht="12.75" spans="1:15">
      <c r="A181" s="12" t="str">
        <f>IFERROR(__xludf.DUMMYFUNCTION("""COMPUTED_VALUE"""),"BTLG11")</f>
        <v>BTLG11</v>
      </c>
      <c r="B181" s="12">
        <f>IFERROR(__xludf.DUMMYFUNCTION("""COMPUTED_VALUE"""),15)</f>
        <v>15</v>
      </c>
      <c r="C181" s="26">
        <f>IFERROR(__xludf.DUMMYFUNCTION("""COMPUTED_VALUE"""),1469.67999999999)</f>
        <v>1469.67999999999</v>
      </c>
      <c r="D181" s="27">
        <f>IFERROR(__xludf.DUMMYFUNCTION("""COMPUTED_VALUE"""),45008)</f>
        <v>45008</v>
      </c>
      <c r="H181" s="29"/>
      <c r="I181" s="12"/>
      <c r="J181" s="34"/>
      <c r="N181" s="12"/>
      <c r="O181" s="12"/>
    </row>
    <row r="182" ht="12.75" spans="1:15">
      <c r="A182" s="12" t="str">
        <f>IFERROR(__xludf.DUMMYFUNCTION("""COMPUTED_VALUE"""),"NCHB11")</f>
        <v>NCHB11</v>
      </c>
      <c r="B182" s="12">
        <f>IFERROR(__xludf.DUMMYFUNCTION("""COMPUTED_VALUE"""),90)</f>
        <v>90</v>
      </c>
      <c r="C182" s="26">
        <f>IFERROR(__xludf.DUMMYFUNCTION("""COMPUTED_VALUE"""),911.859999999999)</f>
        <v>911.859999999999</v>
      </c>
      <c r="D182" s="27">
        <f>IFERROR(__xludf.DUMMYFUNCTION("""COMPUTED_VALUE"""),44886)</f>
        <v>44886</v>
      </c>
      <c r="H182" s="29"/>
      <c r="I182" s="12"/>
      <c r="J182" s="34"/>
      <c r="N182" s="12"/>
      <c r="O182" s="12"/>
    </row>
    <row r="183" ht="12.75" spans="1:15">
      <c r="A183" s="12" t="str">
        <f>IFERROR(__xludf.DUMMYFUNCTION("""COMPUTED_VALUE"""),"RECR11")</f>
        <v>RECR11</v>
      </c>
      <c r="B183" s="12">
        <f>IFERROR(__xludf.DUMMYFUNCTION("""COMPUTED_VALUE"""),10)</f>
        <v>10</v>
      </c>
      <c r="C183" s="26">
        <f>IFERROR(__xludf.DUMMYFUNCTION("""COMPUTED_VALUE"""),855.25)</f>
        <v>855.25</v>
      </c>
      <c r="D183" s="27">
        <f>IFERROR(__xludf.DUMMYFUNCTION("""COMPUTED_VALUE"""),44882)</f>
        <v>44882</v>
      </c>
      <c r="H183" s="29"/>
      <c r="I183" s="12"/>
      <c r="J183" s="34"/>
      <c r="N183" s="12"/>
      <c r="O183" s="12"/>
    </row>
    <row r="184" ht="12.75" spans="1:15">
      <c r="A184" s="12" t="str">
        <f>IFERROR(__xludf.DUMMYFUNCTION("""COMPUTED_VALUE"""),"CVBI11")</f>
        <v>CVBI11</v>
      </c>
      <c r="B184" s="12">
        <f>IFERROR(__xludf.DUMMYFUNCTION("""COMPUTED_VALUE"""),10)</f>
        <v>10</v>
      </c>
      <c r="C184" s="26">
        <f>IFERROR(__xludf.DUMMYFUNCTION("""COMPUTED_VALUE"""),879.76)</f>
        <v>879.76</v>
      </c>
      <c r="D184" s="27">
        <f>IFERROR(__xludf.DUMMYFUNCTION("""COMPUTED_VALUE"""),44882)</f>
        <v>44882</v>
      </c>
      <c r="H184" s="29"/>
      <c r="I184" s="12"/>
      <c r="J184" s="34"/>
      <c r="N184" s="12"/>
      <c r="O184" s="12"/>
    </row>
    <row r="185" ht="12.75" spans="1:15">
      <c r="A185" s="12" t="str">
        <f>IFERROR(__xludf.DUMMYFUNCTION("""COMPUTED_VALUE"""),"MCCI11")</f>
        <v>MCCI11</v>
      </c>
      <c r="B185" s="12">
        <f>IFERROR(__xludf.DUMMYFUNCTION("""COMPUTED_VALUE"""),10)</f>
        <v>10</v>
      </c>
      <c r="C185" s="26">
        <f>IFERROR(__xludf.DUMMYFUNCTION("""COMPUTED_VALUE"""),943.29)</f>
        <v>943.29</v>
      </c>
      <c r="D185" s="27">
        <f>IFERROR(__xludf.DUMMYFUNCTION("""COMPUTED_VALUE"""),44882)</f>
        <v>44882</v>
      </c>
      <c r="H185" s="29"/>
      <c r="I185" s="12"/>
      <c r="J185" s="34"/>
      <c r="N185" s="12"/>
      <c r="O185" s="12"/>
    </row>
    <row r="186" ht="12.75" spans="1:15">
      <c r="A186" s="12" t="str">
        <f>IFERROR(__xludf.DUMMYFUNCTION("""COMPUTED_VALUE"""),"BTLG11")</f>
        <v>BTLG11</v>
      </c>
      <c r="B186" s="12">
        <f>IFERROR(__xludf.DUMMYFUNCTION("""COMPUTED_VALUE"""),10)</f>
        <v>10</v>
      </c>
      <c r="C186" s="26">
        <f>IFERROR(__xludf.DUMMYFUNCTION("""COMPUTED_VALUE"""),988.3)</f>
        <v>988.3</v>
      </c>
      <c r="D186" s="27">
        <f>IFERROR(__xludf.DUMMYFUNCTION("""COMPUTED_VALUE"""),44882)</f>
        <v>44882</v>
      </c>
      <c r="H186" s="29"/>
      <c r="I186" s="12"/>
      <c r="J186" s="34"/>
      <c r="N186" s="12"/>
      <c r="O186" s="12"/>
    </row>
    <row r="187" ht="12.75" spans="1:15">
      <c r="A187" s="12" t="str">
        <f>IFERROR(__xludf.DUMMYFUNCTION("""COMPUTED_VALUE"""),"RZAT11")</f>
        <v>RZAT11</v>
      </c>
      <c r="B187" s="12">
        <f>IFERROR(__xludf.DUMMYFUNCTION("""COMPUTED_VALUE"""),20)</f>
        <v>20</v>
      </c>
      <c r="C187" s="26">
        <f>IFERROR(__xludf.DUMMYFUNCTION("""COMPUTED_VALUE"""),1865.56)</f>
        <v>1865.56</v>
      </c>
      <c r="D187" s="27">
        <f>IFERROR(__xludf.DUMMYFUNCTION("""COMPUTED_VALUE"""),44882)</f>
        <v>44882</v>
      </c>
      <c r="H187" s="29"/>
      <c r="I187" s="12"/>
      <c r="J187" s="34"/>
      <c r="N187" s="12"/>
      <c r="O187" s="12"/>
    </row>
    <row r="188" ht="12.75" spans="1:15">
      <c r="A188" s="12" t="str">
        <f>IFERROR(__xludf.DUMMYFUNCTION("""COMPUTED_VALUE"""),"PVBI11")</f>
        <v>PVBI11</v>
      </c>
      <c r="B188" s="12">
        <f>IFERROR(__xludf.DUMMYFUNCTION("""COMPUTED_VALUE"""),10)</f>
        <v>10</v>
      </c>
      <c r="C188" s="26">
        <f>IFERROR(__xludf.DUMMYFUNCTION("""COMPUTED_VALUE"""),931.28)</f>
        <v>931.28</v>
      </c>
      <c r="D188" s="27">
        <f>IFERROR(__xludf.DUMMYFUNCTION("""COMPUTED_VALUE"""),44882)</f>
        <v>44882</v>
      </c>
      <c r="H188" s="29"/>
      <c r="I188" s="12"/>
      <c r="J188" s="34"/>
      <c r="N188" s="12"/>
      <c r="O188" s="12"/>
    </row>
    <row r="189" ht="12.75" spans="1:15">
      <c r="A189" s="12" t="str">
        <f>IFERROR(__xludf.DUMMYFUNCTION("""COMPUTED_VALUE"""),"HGBS11")</f>
        <v>HGBS11</v>
      </c>
      <c r="B189" s="12">
        <f>IFERROR(__xludf.DUMMYFUNCTION("""COMPUTED_VALUE"""),10)</f>
        <v>10</v>
      </c>
      <c r="C189" s="26">
        <f>IFERROR(__xludf.DUMMYFUNCTION("""COMPUTED_VALUE"""),1910.57)</f>
        <v>1910.57</v>
      </c>
      <c r="D189" s="27">
        <f>IFERROR(__xludf.DUMMYFUNCTION("""COMPUTED_VALUE"""),44882)</f>
        <v>44882</v>
      </c>
      <c r="H189" s="29"/>
      <c r="I189" s="12"/>
      <c r="J189" s="34"/>
      <c r="N189" s="12"/>
      <c r="O189" s="12"/>
    </row>
    <row r="190" ht="12.75" spans="1:15">
      <c r="A190" s="12" t="str">
        <f>IFERROR(__xludf.DUMMYFUNCTION("""COMPUTED_VALUE"""),"PVBI11")</f>
        <v>PVBI11</v>
      </c>
      <c r="B190" s="12">
        <f>IFERROR(__xludf.DUMMYFUNCTION("""COMPUTED_VALUE"""),10)</f>
        <v>10</v>
      </c>
      <c r="C190" s="26">
        <f>IFERROR(__xludf.DUMMYFUNCTION("""COMPUTED_VALUE"""),955.29)</f>
        <v>955.29</v>
      </c>
      <c r="D190" s="27">
        <f>IFERROR(__xludf.DUMMYFUNCTION("""COMPUTED_VALUE"""),44881)</f>
        <v>44881</v>
      </c>
      <c r="H190" s="29"/>
      <c r="I190" s="12"/>
      <c r="J190" s="34"/>
      <c r="N190" s="12"/>
      <c r="O190" s="12"/>
    </row>
    <row r="191" ht="12.75" spans="1:15">
      <c r="A191" s="12" t="str">
        <f>IFERROR(__xludf.DUMMYFUNCTION("""COMPUTED_VALUE"""),"HGBS11")</f>
        <v>HGBS11</v>
      </c>
      <c r="B191" s="12">
        <f>IFERROR(__xludf.DUMMYFUNCTION("""COMPUTED_VALUE"""),10)</f>
        <v>10</v>
      </c>
      <c r="C191" s="26">
        <f>IFERROR(__xludf.DUMMYFUNCTION("""COMPUTED_VALUE"""),1975.58)</f>
        <v>1975.58</v>
      </c>
      <c r="D191" s="27">
        <f>IFERROR(__xludf.DUMMYFUNCTION("""COMPUTED_VALUE"""),44881)</f>
        <v>44881</v>
      </c>
      <c r="H191" s="29"/>
      <c r="I191" s="12"/>
      <c r="J191" s="34"/>
      <c r="N191" s="12"/>
      <c r="O191" s="12"/>
    </row>
    <row r="192" ht="12.75" spans="1:15">
      <c r="A192" s="12" t="str">
        <f>IFERROR(__xludf.DUMMYFUNCTION("""COMPUTED_VALUE"""),"NCHB11")</f>
        <v>NCHB11</v>
      </c>
      <c r="B192" s="12">
        <f>IFERROR(__xludf.DUMMYFUNCTION("""COMPUTED_VALUE"""),90)</f>
        <v>90</v>
      </c>
      <c r="C192" s="26">
        <f>IFERROR(__xludf.DUMMYFUNCTION("""COMPUTED_VALUE"""),914.77)</f>
        <v>914.77</v>
      </c>
      <c r="D192" s="27">
        <f>IFERROR(__xludf.DUMMYFUNCTION("""COMPUTED_VALUE"""),44879)</f>
        <v>44879</v>
      </c>
      <c r="H192" s="29"/>
      <c r="I192" s="12"/>
      <c r="J192" s="34"/>
      <c r="N192" s="12"/>
      <c r="O192" s="12"/>
    </row>
    <row r="193" ht="12.75" spans="1:15">
      <c r="A193" s="12" t="str">
        <f>IFERROR(__xludf.DUMMYFUNCTION("""COMPUTED_VALUE"""),"BRCO11")</f>
        <v>BRCO11</v>
      </c>
      <c r="B193" s="12">
        <f>IFERROR(__xludf.DUMMYFUNCTION("""COMPUTED_VALUE"""),10)</f>
        <v>10</v>
      </c>
      <c r="C193" s="26">
        <f>IFERROR(__xludf.DUMMYFUNCTION("""COMPUTED_VALUE"""),1055.31)</f>
        <v>1055.31</v>
      </c>
      <c r="D193" s="27">
        <f>IFERROR(__xludf.DUMMYFUNCTION("""COMPUTED_VALUE"""),44879)</f>
        <v>44879</v>
      </c>
      <c r="H193" s="29"/>
      <c r="I193" s="12"/>
      <c r="J193" s="34"/>
      <c r="N193" s="12"/>
      <c r="O193" s="12"/>
    </row>
    <row r="194" ht="12.75" spans="1:15">
      <c r="A194" s="12" t="str">
        <f>IFERROR(__xludf.DUMMYFUNCTION("""COMPUTED_VALUE"""),"RZAT11")</f>
        <v>RZAT11</v>
      </c>
      <c r="B194" s="12">
        <f>IFERROR(__xludf.DUMMYFUNCTION("""COMPUTED_VALUE"""),10)</f>
        <v>10</v>
      </c>
      <c r="C194" s="26">
        <f>IFERROR(__xludf.DUMMYFUNCTION("""COMPUTED_VALUE"""),964.79)</f>
        <v>964.79</v>
      </c>
      <c r="D194" s="27">
        <f>IFERROR(__xludf.DUMMYFUNCTION("""COMPUTED_VALUE"""),44879)</f>
        <v>44879</v>
      </c>
      <c r="H194" s="29"/>
      <c r="I194" s="12"/>
      <c r="J194" s="34"/>
      <c r="N194" s="12"/>
      <c r="O194" s="12"/>
    </row>
    <row r="195" ht="12.75" spans="1:15">
      <c r="A195" s="12" t="str">
        <f>IFERROR(__xludf.DUMMYFUNCTION("""COMPUTED_VALUE"""),"BTLG11")</f>
        <v>BTLG11</v>
      </c>
      <c r="B195" s="12">
        <f>IFERROR(__xludf.DUMMYFUNCTION("""COMPUTED_VALUE"""),10)</f>
        <v>10</v>
      </c>
      <c r="C195" s="26">
        <f>IFERROR(__xludf.DUMMYFUNCTION("""COMPUTED_VALUE"""),1009.8)</f>
        <v>1009.8</v>
      </c>
      <c r="D195" s="27">
        <f>IFERROR(__xludf.DUMMYFUNCTION("""COMPUTED_VALUE"""),44876)</f>
        <v>44876</v>
      </c>
      <c r="H195" s="29"/>
      <c r="I195" s="12"/>
      <c r="J195" s="34"/>
      <c r="N195" s="12"/>
      <c r="O195" s="12"/>
    </row>
    <row r="196" ht="12.75" spans="1:15">
      <c r="A196" s="12" t="str">
        <f>IFERROR(__xludf.DUMMYFUNCTION("""COMPUTED_VALUE"""),"BTLG11")</f>
        <v>BTLG11</v>
      </c>
      <c r="B196" s="12">
        <f>IFERROR(__xludf.DUMMYFUNCTION("""COMPUTED_VALUE"""),10)</f>
        <v>10</v>
      </c>
      <c r="C196" s="26">
        <f>IFERROR(__xludf.DUMMYFUNCTION("""COMPUTED_VALUE"""),1012.8)</f>
        <v>1012.8</v>
      </c>
      <c r="D196" s="27">
        <f>IFERROR(__xludf.DUMMYFUNCTION("""COMPUTED_VALUE"""),44875)</f>
        <v>44875</v>
      </c>
      <c r="H196" s="29"/>
      <c r="I196" s="12"/>
      <c r="J196" s="34"/>
      <c r="N196" s="12"/>
      <c r="O196" s="12"/>
    </row>
    <row r="197" ht="12.75" spans="1:15">
      <c r="A197" s="12" t="str">
        <f>IFERROR(__xludf.DUMMYFUNCTION("""COMPUTED_VALUE"""),"RZAT11")</f>
        <v>RZAT11</v>
      </c>
      <c r="B197" s="12">
        <f>IFERROR(__xludf.DUMMYFUNCTION("""COMPUTED_VALUE"""),10)</f>
        <v>10</v>
      </c>
      <c r="C197" s="26">
        <f>IFERROR(__xludf.DUMMYFUNCTION("""COMPUTED_VALUE"""),972.28)</f>
        <v>972.28</v>
      </c>
      <c r="D197" s="27">
        <f>IFERROR(__xludf.DUMMYFUNCTION("""COMPUTED_VALUE"""),44875)</f>
        <v>44875</v>
      </c>
      <c r="H197" s="29"/>
      <c r="I197" s="12"/>
      <c r="J197" s="34"/>
      <c r="N197" s="12"/>
      <c r="O197" s="12"/>
    </row>
    <row r="198" ht="12.75" spans="1:15">
      <c r="A198" s="12" t="str">
        <f>IFERROR(__xludf.DUMMYFUNCTION("""COMPUTED_VALUE"""),"RZAT11")</f>
        <v>RZAT11</v>
      </c>
      <c r="B198" s="12">
        <f>IFERROR(__xludf.DUMMYFUNCTION("""COMPUTED_VALUE"""),40)</f>
        <v>40</v>
      </c>
      <c r="C198" s="26">
        <f>IFERROR(__xludf.DUMMYFUNCTION("""COMPUTED_VALUE"""),3914.88)</f>
        <v>3914.88</v>
      </c>
      <c r="D198" s="27">
        <f>IFERROR(__xludf.DUMMYFUNCTION("""COMPUTED_VALUE"""),44868)</f>
        <v>44868</v>
      </c>
      <c r="H198" s="29"/>
      <c r="I198" s="12"/>
      <c r="J198" s="34"/>
      <c r="N198" s="12"/>
      <c r="O198" s="12"/>
    </row>
    <row r="199" ht="12.75" spans="1:15">
      <c r="A199" s="12" t="str">
        <f>IFERROR(__xludf.DUMMYFUNCTION("""COMPUTED_VALUE"""),"RZAT11")</f>
        <v>RZAT11</v>
      </c>
      <c r="B199" s="12">
        <f>IFERROR(__xludf.DUMMYFUNCTION("""COMPUTED_VALUE"""),15)</f>
        <v>15</v>
      </c>
      <c r="C199" s="26">
        <f>IFERROR(__xludf.DUMMYFUNCTION("""COMPUTED_VALUE"""),1483.93999999999)</f>
        <v>1483.93999999999</v>
      </c>
      <c r="D199" s="27">
        <f>IFERROR(__xludf.DUMMYFUNCTION("""COMPUTED_VALUE"""),44852)</f>
        <v>44852</v>
      </c>
      <c r="H199" s="29"/>
      <c r="I199" s="12"/>
      <c r="J199" s="34"/>
      <c r="N199" s="12"/>
      <c r="O199" s="12"/>
    </row>
    <row r="200" ht="12.75" spans="1:15">
      <c r="A200" s="12" t="str">
        <f>IFERROR(__xludf.DUMMYFUNCTION("""COMPUTED_VALUE"""),"CVBI11")</f>
        <v>CVBI11</v>
      </c>
      <c r="B200" s="12">
        <f>IFERROR(__xludf.DUMMYFUNCTION("""COMPUTED_VALUE"""),14)</f>
        <v>14</v>
      </c>
      <c r="C200" s="26">
        <f>IFERROR(__xludf.DUMMYFUNCTION("""COMPUTED_VALUE"""),1237.97)</f>
        <v>1237.97</v>
      </c>
      <c r="D200" s="27">
        <f>IFERROR(__xludf.DUMMYFUNCTION("""COMPUTED_VALUE"""),44852)</f>
        <v>44852</v>
      </c>
      <c r="H200" s="29"/>
      <c r="I200" s="12"/>
      <c r="J200" s="34"/>
      <c r="N200" s="12"/>
      <c r="O200" s="12"/>
    </row>
    <row r="201" ht="12.75" spans="1:15">
      <c r="A201" s="12" t="str">
        <f>IFERROR(__xludf.DUMMYFUNCTION("""COMPUTED_VALUE"""),"CVBI11")</f>
        <v>CVBI11</v>
      </c>
      <c r="B201" s="12">
        <f>IFERROR(__xludf.DUMMYFUNCTION("""COMPUTED_VALUE"""),4)</f>
        <v>4</v>
      </c>
      <c r="C201" s="26">
        <f>IFERROR(__xludf.DUMMYFUNCTION("""COMPUTED_VALUE"""),353.69)</f>
        <v>353.69</v>
      </c>
      <c r="D201" s="27">
        <f>IFERROR(__xludf.DUMMYFUNCTION("""COMPUTED_VALUE"""),44851)</f>
        <v>44851</v>
      </c>
      <c r="H201" s="29"/>
      <c r="I201" s="12"/>
      <c r="J201" s="34"/>
      <c r="N201" s="12"/>
      <c r="O201" s="12"/>
    </row>
    <row r="202" ht="12.75" spans="1:15">
      <c r="A202" s="12" t="str">
        <f>IFERROR(__xludf.DUMMYFUNCTION("""COMPUTED_VALUE"""),"RECR11")</f>
        <v>RECR11</v>
      </c>
      <c r="B202" s="12">
        <f>IFERROR(__xludf.DUMMYFUNCTION("""COMPUTED_VALUE"""),15)</f>
        <v>15</v>
      </c>
      <c r="C202" s="26">
        <f>IFERROR(__xludf.DUMMYFUNCTION("""COMPUTED_VALUE"""),1324.13999999999)</f>
        <v>1324.13999999999</v>
      </c>
      <c r="D202" s="27">
        <f>IFERROR(__xludf.DUMMYFUNCTION("""COMPUTED_VALUE"""),44847)</f>
        <v>44847</v>
      </c>
      <c r="H202" s="29"/>
      <c r="I202" s="12"/>
      <c r="J202" s="34"/>
      <c r="N202" s="12"/>
      <c r="O202" s="12"/>
    </row>
    <row r="203" ht="12.75" spans="1:15">
      <c r="A203" s="12" t="str">
        <f>IFERROR(__xludf.DUMMYFUNCTION("""COMPUTED_VALUE"""),"CVBI11")</f>
        <v>CVBI11</v>
      </c>
      <c r="B203" s="12">
        <f>IFERROR(__xludf.DUMMYFUNCTION("""COMPUTED_VALUE"""),15)</f>
        <v>15</v>
      </c>
      <c r="C203" s="26">
        <f>IFERROR(__xludf.DUMMYFUNCTION("""COMPUTED_VALUE"""),1327.13999999999)</f>
        <v>1327.13999999999</v>
      </c>
      <c r="D203" s="27">
        <f>IFERROR(__xludf.DUMMYFUNCTION("""COMPUTED_VALUE"""),44837)</f>
        <v>44837</v>
      </c>
      <c r="H203" s="29"/>
      <c r="I203" s="12"/>
      <c r="J203" s="34"/>
      <c r="N203" s="12"/>
      <c r="O203" s="12"/>
    </row>
    <row r="204" ht="12.75" spans="1:15">
      <c r="A204" s="12" t="str">
        <f>IFERROR(__xludf.DUMMYFUNCTION("""COMPUTED_VALUE"""),"CVBI11")</f>
        <v>CVBI11</v>
      </c>
      <c r="B204" s="12">
        <f>IFERROR(__xludf.DUMMYFUNCTION("""COMPUTED_VALUE"""),10)</f>
        <v>10</v>
      </c>
      <c r="C204" s="26">
        <f>IFERROR(__xludf.DUMMYFUNCTION("""COMPUTED_VALUE"""),898.76)</f>
        <v>898.76</v>
      </c>
      <c r="D204" s="27">
        <f>IFERROR(__xludf.DUMMYFUNCTION("""COMPUTED_VALUE"""),44833)</f>
        <v>44833</v>
      </c>
      <c r="H204" s="29"/>
      <c r="I204" s="12"/>
      <c r="J204" s="34"/>
      <c r="N204" s="12"/>
      <c r="O204" s="12"/>
    </row>
    <row r="205" ht="12.75" spans="1:15">
      <c r="A205" s="12" t="str">
        <f>IFERROR(__xludf.DUMMYFUNCTION("""COMPUTED_VALUE"""),"RECR11")</f>
        <v>RECR11</v>
      </c>
      <c r="B205" s="12">
        <f>IFERROR(__xludf.DUMMYFUNCTION("""COMPUTED_VALUE"""),10)</f>
        <v>10</v>
      </c>
      <c r="C205" s="26">
        <f>IFERROR(__xludf.DUMMYFUNCTION("""COMPUTED_VALUE"""),897.257853857947)</f>
        <v>897.257853857947</v>
      </c>
      <c r="D205" s="27">
        <f>IFERROR(__xludf.DUMMYFUNCTION("""COMPUTED_VALUE"""),44832)</f>
        <v>44832</v>
      </c>
      <c r="H205" s="29"/>
      <c r="I205" s="12"/>
      <c r="J205" s="34"/>
      <c r="N205" s="12"/>
      <c r="O205" s="12"/>
    </row>
    <row r="206" ht="12.75" spans="1:15">
      <c r="A206" s="12" t="str">
        <f>IFERROR(__xludf.DUMMYFUNCTION("""COMPUTED_VALUE"""),"HGLG11")</f>
        <v>HGLG11</v>
      </c>
      <c r="B206" s="12">
        <f>IFERROR(__xludf.DUMMYFUNCTION("""COMPUTED_VALUE"""),9)</f>
        <v>9</v>
      </c>
      <c r="C206" s="26">
        <f>IFERROR(__xludf.DUMMYFUNCTION("""COMPUTED_VALUE"""),1398.33)</f>
        <v>1398.33</v>
      </c>
      <c r="D206" s="27">
        <f>IFERROR(__xludf.DUMMYFUNCTION("""COMPUTED_VALUE"""),44053)</f>
        <v>44053</v>
      </c>
      <c r="H206" s="29"/>
      <c r="I206" s="12"/>
      <c r="J206" s="34"/>
      <c r="N206" s="12"/>
      <c r="O206" s="12"/>
    </row>
    <row r="207" ht="12.75" spans="1:15">
      <c r="A207" s="12" t="str">
        <f>IFERROR(__xludf.DUMMYFUNCTION("""COMPUTED_VALUE"""),"SAAG11")</f>
        <v>SAAG11</v>
      </c>
      <c r="B207" s="12">
        <f>IFERROR(__xludf.DUMMYFUNCTION("""COMPUTED_VALUE"""),-260)</f>
        <v>-260</v>
      </c>
      <c r="C207" s="26">
        <f>IFERROR(__xludf.DUMMYFUNCTION("""COMPUTED_VALUE"""),-32950.97)</f>
        <v>-32950.97</v>
      </c>
      <c r="D207" s="27">
        <f>IFERROR(__xludf.DUMMYFUNCTION("""COMPUTED_VALUE"""),43943)</f>
        <v>43943</v>
      </c>
      <c r="H207" s="29"/>
      <c r="I207" s="12"/>
      <c r="J207" s="34"/>
      <c r="N207" s="12"/>
      <c r="O207" s="12"/>
    </row>
    <row r="208" ht="12.75" spans="1:15">
      <c r="A208" s="12" t="str">
        <f>IFERROR(__xludf.DUMMYFUNCTION("""COMPUTED_VALUE"""),"RZAT11")</f>
        <v>RZAT11</v>
      </c>
      <c r="B208" s="12">
        <f>IFERROR(__xludf.DUMMYFUNCTION("""COMPUTED_VALUE"""),10)</f>
        <v>10</v>
      </c>
      <c r="C208" s="26">
        <f>IFERROR(__xludf.DUMMYFUNCTION("""COMPUTED_VALUE"""),1005.29785385794)</f>
        <v>1005.29785385794</v>
      </c>
      <c r="D208" s="27">
        <f>IFERROR(__xludf.DUMMYFUNCTION("""COMPUTED_VALUE"""),44827)</f>
        <v>44827</v>
      </c>
      <c r="H208" s="29"/>
      <c r="I208" s="12"/>
      <c r="J208" s="34"/>
      <c r="N208" s="12"/>
      <c r="O208" s="12"/>
    </row>
    <row r="209" ht="12.75" spans="1:15">
      <c r="A209" s="12" t="str">
        <f>IFERROR(__xludf.DUMMYFUNCTION("""COMPUTED_VALUE"""),"CVBI11")</f>
        <v>CVBI11</v>
      </c>
      <c r="B209" s="12">
        <f>IFERROR(__xludf.DUMMYFUNCTION("""COMPUTED_VALUE"""),10)</f>
        <v>10</v>
      </c>
      <c r="C209" s="26">
        <f>IFERROR(__xludf.DUMMYFUNCTION("""COMPUTED_VALUE"""),904.768068472153)</f>
        <v>904.768068472153</v>
      </c>
      <c r="D209" s="27">
        <f>IFERROR(__xludf.DUMMYFUNCTION("""COMPUTED_VALUE"""),44827)</f>
        <v>44827</v>
      </c>
      <c r="H209" s="29"/>
      <c r="I209" s="12"/>
      <c r="J209" s="34"/>
      <c r="N209" s="12"/>
      <c r="O209" s="12"/>
    </row>
    <row r="210" ht="12.75" spans="1:15">
      <c r="A210" s="12" t="str">
        <f>IFERROR(__xludf.DUMMYFUNCTION("""COMPUTED_VALUE"""),"CPTI11")</f>
        <v>CPTI11</v>
      </c>
      <c r="B210" s="12">
        <f>IFERROR(__xludf.DUMMYFUNCTION("""COMPUTED_VALUE"""),20)</f>
        <v>20</v>
      </c>
      <c r="C210" s="26">
        <f>IFERROR(__xludf.DUMMYFUNCTION("""COMPUTED_VALUE"""),2002.59333673991)</f>
        <v>2002.59333673991</v>
      </c>
      <c r="D210" s="27">
        <f>IFERROR(__xludf.DUMMYFUNCTION("""COMPUTED_VALUE"""),44823)</f>
        <v>44823</v>
      </c>
      <c r="H210" s="29"/>
      <c r="I210" s="12"/>
      <c r="J210" s="34"/>
      <c r="N210" s="12"/>
      <c r="O210" s="12"/>
    </row>
    <row r="211" ht="12.75" spans="1:15">
      <c r="A211" s="12" t="str">
        <f>IFERROR(__xludf.DUMMYFUNCTION("""COMPUTED_VALUE"""),"CVBI11")</f>
        <v>CVBI11</v>
      </c>
      <c r="B211" s="12">
        <f>IFERROR(__xludf.DUMMYFUNCTION("""COMPUTED_VALUE"""),20)</f>
        <v>20</v>
      </c>
      <c r="C211" s="26">
        <f>IFERROR(__xludf.DUMMYFUNCTION("""COMPUTED_VALUE"""),1808.5358405723)</f>
        <v>1808.5358405723</v>
      </c>
      <c r="D211" s="27">
        <f>IFERROR(__xludf.DUMMYFUNCTION("""COMPUTED_VALUE"""),44823)</f>
        <v>44823</v>
      </c>
      <c r="H211" s="29"/>
      <c r="I211" s="12"/>
      <c r="J211" s="34"/>
      <c r="N211" s="12"/>
      <c r="O211" s="12"/>
    </row>
    <row r="212" ht="12.75" spans="1:15">
      <c r="A212" s="12" t="str">
        <f>IFERROR(__xludf.DUMMYFUNCTION("""COMPUTED_VALUE"""),"NCHB11")</f>
        <v>NCHB11</v>
      </c>
      <c r="B212" s="12">
        <f>IFERROR(__xludf.DUMMYFUNCTION("""COMPUTED_VALUE"""),90)</f>
        <v>90</v>
      </c>
      <c r="C212" s="26">
        <f>IFERROR(__xludf.DUMMYFUNCTION("""COMPUTED_VALUE"""),919.262365866123)</f>
        <v>919.262365866123</v>
      </c>
      <c r="D212" s="27">
        <f>IFERROR(__xludf.DUMMYFUNCTION("""COMPUTED_VALUE"""),44797)</f>
        <v>44797</v>
      </c>
      <c r="H212" s="29"/>
      <c r="I212" s="12"/>
      <c r="J212" s="34"/>
      <c r="N212" s="12"/>
      <c r="O212" s="12"/>
    </row>
    <row r="213" ht="12.75" spans="1:15">
      <c r="A213" s="12" t="str">
        <f>IFERROR(__xludf.DUMMYFUNCTION("""COMPUTED_VALUE"""),"RZAT11")</f>
        <v>RZAT11</v>
      </c>
      <c r="B213" s="12">
        <f>IFERROR(__xludf.DUMMYFUNCTION("""COMPUTED_VALUE"""),20)</f>
        <v>20</v>
      </c>
      <c r="C213" s="26">
        <f>IFERROR(__xludf.DUMMYFUNCTION("""COMPUTED_VALUE"""),2019.39831578947)</f>
        <v>2019.39831578947</v>
      </c>
      <c r="D213" s="27">
        <f>IFERROR(__xludf.DUMMYFUNCTION("""COMPUTED_VALUE"""),44796)</f>
        <v>44796</v>
      </c>
      <c r="H213" s="29"/>
      <c r="I213" s="12"/>
      <c r="J213" s="34"/>
      <c r="N213" s="12"/>
      <c r="O213" s="12"/>
    </row>
    <row r="214" ht="12.75" spans="1:15">
      <c r="A214" s="12" t="str">
        <f>IFERROR(__xludf.DUMMYFUNCTION("""COMPUTED_VALUE"""),"RZAT11")</f>
        <v>RZAT11</v>
      </c>
      <c r="B214" s="12">
        <f>IFERROR(__xludf.DUMMYFUNCTION("""COMPUTED_VALUE"""),10)</f>
        <v>10</v>
      </c>
      <c r="C214" s="26">
        <f>IFERROR(__xludf.DUMMYFUNCTION("""COMPUTED_VALUE"""),1012.29992846193)</f>
        <v>1012.29992846193</v>
      </c>
      <c r="D214" s="27">
        <f>IFERROR(__xludf.DUMMYFUNCTION("""COMPUTED_VALUE"""),44795)</f>
        <v>44795</v>
      </c>
      <c r="H214" s="29"/>
      <c r="I214" s="12"/>
      <c r="J214" s="34"/>
      <c r="N214" s="12"/>
      <c r="O214" s="12"/>
    </row>
    <row r="215" ht="12.75" spans="1:15">
      <c r="A215" s="12" t="str">
        <f>IFERROR(__xludf.DUMMYFUNCTION("""COMPUTED_VALUE"""),"CPTI11")</f>
        <v>CPTI11</v>
      </c>
      <c r="B215" s="12">
        <f>IFERROR(__xludf.DUMMYFUNCTION("""COMPUTED_VALUE"""),20)</f>
        <v>20</v>
      </c>
      <c r="C215" s="26">
        <f>IFERROR(__xludf.DUMMYFUNCTION("""COMPUTED_VALUE"""),2019.59837506387)</f>
        <v>2019.59837506387</v>
      </c>
      <c r="D215" s="27">
        <f>IFERROR(__xludf.DUMMYFUNCTION("""COMPUTED_VALUE"""),44792)</f>
        <v>44792</v>
      </c>
      <c r="H215" s="29"/>
      <c r="I215" s="12"/>
      <c r="J215" s="34"/>
      <c r="N215" s="12"/>
      <c r="O215" s="12"/>
    </row>
    <row r="216" ht="12.75" spans="1:15">
      <c r="A216" s="12" t="str">
        <f>IFERROR(__xludf.DUMMYFUNCTION("""COMPUTED_VALUE"""),"NCHB11")</f>
        <v>NCHB11</v>
      </c>
      <c r="B216" s="12">
        <f>IFERROR(__xludf.DUMMYFUNCTION("""COMPUTED_VALUE"""),135)</f>
        <v>135</v>
      </c>
      <c r="C216" s="26">
        <f>IFERROR(__xludf.DUMMYFUNCTION("""COMPUTED_VALUE"""),1359.39276954522)</f>
        <v>1359.39276954522</v>
      </c>
      <c r="D216" s="27">
        <f>IFERROR(__xludf.DUMMYFUNCTION("""COMPUTED_VALUE"""),44785)</f>
        <v>44785</v>
      </c>
      <c r="H216" s="29"/>
      <c r="I216" s="12"/>
      <c r="J216" s="34"/>
      <c r="N216" s="12"/>
      <c r="O216" s="12"/>
    </row>
    <row r="217" ht="12.75" spans="1:15">
      <c r="A217" s="12" t="str">
        <f>IFERROR(__xludf.DUMMYFUNCTION("""COMPUTED_VALUE"""),"NCHB11")</f>
        <v>NCHB11</v>
      </c>
      <c r="B217" s="12">
        <f>IFERROR(__xludf.DUMMYFUNCTION("""COMPUTED_VALUE"""),90)</f>
        <v>90</v>
      </c>
      <c r="C217" s="26">
        <f>IFERROR(__xludf.DUMMYFUNCTION("""COMPUTED_VALUE"""),911.269994890139)</f>
        <v>911.269994890139</v>
      </c>
      <c r="D217" s="27">
        <f>IFERROR(__xludf.DUMMYFUNCTION("""COMPUTED_VALUE"""),44783)</f>
        <v>44783</v>
      </c>
      <c r="H217" s="29"/>
      <c r="I217" s="12"/>
      <c r="J217" s="34"/>
      <c r="N217" s="12"/>
      <c r="O217" s="12"/>
    </row>
    <row r="218" ht="12.75" spans="1:15">
      <c r="A218" s="12" t="str">
        <f>IFERROR(__xludf.DUMMYFUNCTION("""COMPUTED_VALUE"""),"RZAT11")</f>
        <v>RZAT11</v>
      </c>
      <c r="B218" s="12">
        <f>IFERROR(__xludf.DUMMYFUNCTION("""COMPUTED_VALUE"""),15)</f>
        <v>15</v>
      </c>
      <c r="C218" s="26">
        <f>IFERROR(__xludf.DUMMYFUNCTION("""COMPUTED_VALUE"""),1539.60616096065)</f>
        <v>1539.60616096065</v>
      </c>
      <c r="D218" s="27">
        <f>IFERROR(__xludf.DUMMYFUNCTION("""COMPUTED_VALUE"""),44771)</f>
        <v>44771</v>
      </c>
      <c r="H218" s="29"/>
      <c r="I218" s="12"/>
      <c r="J218" s="34"/>
      <c r="N218" s="12"/>
      <c r="O218" s="12"/>
    </row>
    <row r="219" ht="12.75" spans="1:15">
      <c r="A219" s="12" t="str">
        <f>IFERROR(__xludf.DUMMYFUNCTION("""COMPUTED_VALUE"""),"RZAT11")</f>
        <v>RZAT11</v>
      </c>
      <c r="B219" s="12">
        <f>IFERROR(__xludf.DUMMYFUNCTION("""COMPUTED_VALUE"""),25)</f>
        <v>25</v>
      </c>
      <c r="C219" s="26">
        <f>IFERROR(__xludf.DUMMYFUNCTION("""COMPUTED_VALUE"""),2583.53)</f>
        <v>2583.53</v>
      </c>
      <c r="D219" s="27">
        <f>IFERROR(__xludf.DUMMYFUNCTION("""COMPUTED_VALUE"""),44771)</f>
        <v>44771</v>
      </c>
      <c r="H219" s="29"/>
      <c r="I219" s="12"/>
      <c r="J219" s="34"/>
      <c r="N219" s="12"/>
      <c r="O219" s="12"/>
    </row>
    <row r="220" ht="12.75" spans="1:15">
      <c r="A220" s="12" t="str">
        <f>IFERROR(__xludf.DUMMYFUNCTION("""COMPUTED_VALUE"""),"BTLG11")</f>
        <v>BTLG11</v>
      </c>
      <c r="B220" s="12">
        <f>IFERROR(__xludf.DUMMYFUNCTION("""COMPUTED_VALUE"""),40)</f>
        <v>40</v>
      </c>
      <c r="C220" s="26">
        <f>IFERROR(__xludf.DUMMYFUNCTION("""COMPUTED_VALUE"""),3894.15377618805)</f>
        <v>3894.15377618805</v>
      </c>
      <c r="D220" s="27">
        <f>IFERROR(__xludf.DUMMYFUNCTION("""COMPUTED_VALUE"""),44760)</f>
        <v>44760</v>
      </c>
      <c r="H220" s="29"/>
      <c r="I220" s="12"/>
      <c r="J220" s="34"/>
      <c r="N220" s="12"/>
      <c r="O220" s="12"/>
    </row>
    <row r="221" ht="12.75" spans="1:15">
      <c r="A221" s="12" t="str">
        <f>IFERROR(__xludf.DUMMYFUNCTION("""COMPUTED_VALUE"""),"BTLG11")</f>
        <v>BTLG11</v>
      </c>
      <c r="B221" s="12">
        <f>IFERROR(__xludf.DUMMYFUNCTION("""COMPUTED_VALUE"""),10)</f>
        <v>10</v>
      </c>
      <c r="C221" s="26">
        <f>IFERROR(__xludf.DUMMYFUNCTION("""COMPUTED_VALUE"""),975.282462953492)</f>
        <v>975.282462953492</v>
      </c>
      <c r="D221" s="27">
        <f>IFERROR(__xludf.DUMMYFUNCTION("""COMPUTED_VALUE"""),44754)</f>
        <v>44754</v>
      </c>
      <c r="H221" s="29"/>
      <c r="I221" s="12"/>
      <c r="J221" s="34"/>
      <c r="N221" s="12"/>
      <c r="O221" s="12"/>
    </row>
    <row r="222" ht="12.75" spans="1:15">
      <c r="A222" s="12" t="str">
        <f>IFERROR(__xludf.DUMMYFUNCTION("""COMPUTED_VALUE"""),"BTLG11")</f>
        <v>BTLG11</v>
      </c>
      <c r="B222" s="12">
        <f>IFERROR(__xludf.DUMMYFUNCTION("""COMPUTED_VALUE"""),20)</f>
        <v>20</v>
      </c>
      <c r="C222" s="26">
        <f>IFERROR(__xludf.DUMMYFUNCTION("""COMPUTED_VALUE"""),1951.57822176801)</f>
        <v>1951.57822176801</v>
      </c>
      <c r="D222" s="27">
        <f>IFERROR(__xludf.DUMMYFUNCTION("""COMPUTED_VALUE"""),44748)</f>
        <v>44748</v>
      </c>
      <c r="H222" s="29"/>
      <c r="I222" s="12"/>
      <c r="J222" s="34"/>
      <c r="N222" s="12"/>
      <c r="O222" s="12"/>
    </row>
    <row r="223" ht="12.75" spans="1:15">
      <c r="A223" s="12" t="str">
        <f>IFERROR(__xludf.DUMMYFUNCTION("""COMPUTED_VALUE"""),"RZTR11")</f>
        <v>RZTR11</v>
      </c>
      <c r="B223" s="12">
        <f>IFERROR(__xludf.DUMMYFUNCTION("""COMPUTED_VALUE"""),20)</f>
        <v>20</v>
      </c>
      <c r="C223" s="26">
        <f>IFERROR(__xludf.DUMMYFUNCTION("""COMPUTED_VALUE"""),1998.59215125192)</f>
        <v>1998.59215125192</v>
      </c>
      <c r="D223" s="27">
        <f>IFERROR(__xludf.DUMMYFUNCTION("""COMPUTED_VALUE"""),44743)</f>
        <v>44743</v>
      </c>
      <c r="H223" s="29"/>
      <c r="I223" s="12"/>
      <c r="J223" s="34"/>
      <c r="N223" s="12"/>
      <c r="O223" s="12"/>
    </row>
    <row r="224" ht="12.75" spans="1:15">
      <c r="A224" s="12" t="str">
        <f>IFERROR(__xludf.DUMMYFUNCTION("""COMPUTED_VALUE"""),"BTLG11")</f>
        <v>BTLG11</v>
      </c>
      <c r="B224" s="12">
        <f>IFERROR(__xludf.DUMMYFUNCTION("""COMPUTED_VALUE"""),20)</f>
        <v>20</v>
      </c>
      <c r="C224" s="26">
        <f>IFERROR(__xludf.DUMMYFUNCTION("""COMPUTED_VALUE"""),1988.58918753194)</f>
        <v>1988.58918753194</v>
      </c>
      <c r="D224" s="27">
        <f>IFERROR(__xludf.DUMMYFUNCTION("""COMPUTED_VALUE"""),44743)</f>
        <v>44743</v>
      </c>
      <c r="H224" s="29"/>
      <c r="I224" s="12"/>
      <c r="J224" s="34"/>
      <c r="N224" s="12"/>
      <c r="O224" s="12"/>
    </row>
    <row r="225" ht="12.75" spans="1:15">
      <c r="A225" s="12" t="str">
        <f>IFERROR(__xludf.DUMMYFUNCTION("""COMPUTED_VALUE"""),"BTLG11")</f>
        <v>BTLG11</v>
      </c>
      <c r="B225" s="12">
        <f>IFERROR(__xludf.DUMMYFUNCTION("""COMPUTED_VALUE"""),30)</f>
        <v>30</v>
      </c>
      <c r="C225" s="26">
        <f>IFERROR(__xludf.DUMMYFUNCTION("""COMPUTED_VALUE"""),2997.88293306083)</f>
        <v>2997.88293306083</v>
      </c>
      <c r="D225" s="27">
        <f>IFERROR(__xludf.DUMMYFUNCTION("""COMPUTED_VALUE"""),44736)</f>
        <v>44736</v>
      </c>
      <c r="H225" s="29"/>
      <c r="I225" s="12"/>
      <c r="J225" s="34"/>
      <c r="N225" s="12"/>
      <c r="O225" s="12"/>
    </row>
    <row r="226" ht="12.75" spans="1:15">
      <c r="A226" s="12" t="str">
        <f>IFERROR(__xludf.DUMMYFUNCTION("""COMPUTED_VALUE"""),"RZTR11")</f>
        <v>RZTR11</v>
      </c>
      <c r="B226" s="12">
        <f>IFERROR(__xludf.DUMMYFUNCTION("""COMPUTED_VALUE"""),20)</f>
        <v>20</v>
      </c>
      <c r="C226" s="26">
        <f>IFERROR(__xludf.DUMMYFUNCTION("""COMPUTED_VALUE"""),2010.6)</f>
        <v>2010.6</v>
      </c>
      <c r="D226" s="27">
        <f>IFERROR(__xludf.DUMMYFUNCTION("""COMPUTED_VALUE"""),44735)</f>
        <v>44735</v>
      </c>
      <c r="H226" s="29"/>
      <c r="I226" s="12"/>
      <c r="J226" s="34"/>
      <c r="N226" s="12"/>
      <c r="O226" s="12"/>
    </row>
    <row r="227" ht="12.75" spans="1:15">
      <c r="A227" s="12" t="str">
        <f>IFERROR(__xludf.DUMMYFUNCTION("""COMPUTED_VALUE"""),"BRCO11")</f>
        <v>BRCO11</v>
      </c>
      <c r="B227" s="12">
        <f>IFERROR(__xludf.DUMMYFUNCTION("""COMPUTED_VALUE"""),20)</f>
        <v>20</v>
      </c>
      <c r="C227" s="26">
        <f>IFERROR(__xludf.DUMMYFUNCTION("""COMPUTED_VALUE"""),1958.58)</f>
        <v>1958.58</v>
      </c>
      <c r="D227" s="27">
        <f>IFERROR(__xludf.DUMMYFUNCTION("""COMPUTED_VALUE"""),44735)</f>
        <v>44735</v>
      </c>
      <c r="H227" s="29"/>
      <c r="I227" s="12"/>
      <c r="J227" s="34"/>
      <c r="N227" s="12"/>
      <c r="O227" s="12"/>
    </row>
    <row r="228" ht="12.75" spans="1:15">
      <c r="A228" s="12" t="str">
        <f>IFERROR(__xludf.DUMMYFUNCTION("""COMPUTED_VALUE"""),"BRCO11")</f>
        <v>BRCO11</v>
      </c>
      <c r="B228" s="12">
        <f>IFERROR(__xludf.DUMMYFUNCTION("""COMPUTED_VALUE"""),30)</f>
        <v>30</v>
      </c>
      <c r="C228" s="26">
        <f>IFERROR(__xludf.DUMMYFUNCTION("""COMPUTED_VALUE"""),2936.37)</f>
        <v>2936.37</v>
      </c>
      <c r="D228" s="27">
        <f>IFERROR(__xludf.DUMMYFUNCTION("""COMPUTED_VALUE"""),44732)</f>
        <v>44732</v>
      </c>
      <c r="H228" s="29"/>
      <c r="I228" s="12"/>
      <c r="J228" s="34"/>
      <c r="N228" s="12"/>
      <c r="O228" s="12"/>
    </row>
    <row r="229" ht="12.75" spans="1:15">
      <c r="A229" s="12" t="str">
        <f>IFERROR(__xludf.DUMMYFUNCTION("""COMPUTED_VALUE"""),"HGRE11")</f>
        <v>HGRE11</v>
      </c>
      <c r="B229" s="12">
        <f>IFERROR(__xludf.DUMMYFUNCTION("""COMPUTED_VALUE"""),20)</f>
        <v>20</v>
      </c>
      <c r="C229" s="26">
        <f>IFERROR(__xludf.DUMMYFUNCTION("""COMPUTED_VALUE"""),2536.75)</f>
        <v>2536.75</v>
      </c>
      <c r="D229" s="27">
        <f>IFERROR(__xludf.DUMMYFUNCTION("""COMPUTED_VALUE"""),44729)</f>
        <v>44729</v>
      </c>
      <c r="H229" s="29"/>
      <c r="I229" s="12"/>
      <c r="J229" s="34"/>
      <c r="N229" s="12"/>
      <c r="O229" s="12"/>
    </row>
    <row r="230" ht="12.75" spans="1:15">
      <c r="A230" s="12" t="str">
        <f>IFERROR(__xludf.DUMMYFUNCTION("""COMPUTED_VALUE"""),"BRCO11")</f>
        <v>BRCO11</v>
      </c>
      <c r="B230" s="12">
        <f>IFERROR(__xludf.DUMMYFUNCTION("""COMPUTED_VALUE"""),10)</f>
        <v>10</v>
      </c>
      <c r="C230" s="26">
        <f>IFERROR(__xludf.DUMMYFUNCTION("""COMPUTED_VALUE"""),980.29)</f>
        <v>980.29</v>
      </c>
      <c r="D230" s="27">
        <f>IFERROR(__xludf.DUMMYFUNCTION("""COMPUTED_VALUE"""),44729)</f>
        <v>44729</v>
      </c>
      <c r="H230" s="29"/>
      <c r="I230" s="12"/>
      <c r="J230" s="34"/>
      <c r="N230" s="12"/>
      <c r="O230" s="12"/>
    </row>
    <row r="231" ht="12.75" spans="1:15">
      <c r="A231" s="12" t="str">
        <f>IFERROR(__xludf.DUMMYFUNCTION("""COMPUTED_VALUE"""),"RZTR11")</f>
        <v>RZTR11</v>
      </c>
      <c r="B231" s="12">
        <f>IFERROR(__xludf.DUMMYFUNCTION("""COMPUTED_VALUE"""),20)</f>
        <v>20</v>
      </c>
      <c r="C231" s="26">
        <f>IFERROR(__xludf.DUMMYFUNCTION("""COMPUTED_VALUE"""),2060.61)</f>
        <v>2060.61</v>
      </c>
      <c r="D231" s="27">
        <f>IFERROR(__xludf.DUMMYFUNCTION("""COMPUTED_VALUE"""),44708)</f>
        <v>44708</v>
      </c>
      <c r="H231" s="29"/>
      <c r="I231" s="12"/>
      <c r="J231" s="34"/>
      <c r="N231" s="12"/>
      <c r="O231" s="12"/>
    </row>
    <row r="232" ht="12.75" spans="1:15">
      <c r="A232" s="12" t="str">
        <f>IFERROR(__xludf.DUMMYFUNCTION("""COMPUTED_VALUE"""),"HGRE11")</f>
        <v>HGRE11</v>
      </c>
      <c r="B232" s="12">
        <f>IFERROR(__xludf.DUMMYFUNCTION("""COMPUTED_VALUE"""),20)</f>
        <v>20</v>
      </c>
      <c r="C232" s="26">
        <f>IFERROR(__xludf.DUMMYFUNCTION("""COMPUTED_VALUE"""),2530.75)</f>
        <v>2530.75</v>
      </c>
      <c r="D232" s="27">
        <f>IFERROR(__xludf.DUMMYFUNCTION("""COMPUTED_VALUE"""),44707)</f>
        <v>44707</v>
      </c>
      <c r="H232" s="29"/>
      <c r="I232" s="12"/>
      <c r="J232" s="34"/>
      <c r="N232" s="12"/>
      <c r="O232" s="12"/>
    </row>
    <row r="233" ht="12.75" spans="1:15">
      <c r="A233" s="12" t="str">
        <f>IFERROR(__xludf.DUMMYFUNCTION("""COMPUTED_VALUE"""),"RZAT11")</f>
        <v>RZAT11</v>
      </c>
      <c r="B233" s="12">
        <f>IFERROR(__xludf.DUMMYFUNCTION("""COMPUTED_VALUE"""),10)</f>
        <v>10</v>
      </c>
      <c r="C233" s="26">
        <f>IFERROR(__xludf.DUMMYFUNCTION("""COMPUTED_VALUE"""),1048.31)</f>
        <v>1048.31</v>
      </c>
      <c r="D233" s="27">
        <f>IFERROR(__xludf.DUMMYFUNCTION("""COMPUTED_VALUE"""),44700)</f>
        <v>44700</v>
      </c>
      <c r="H233" s="29"/>
      <c r="I233" s="12"/>
      <c r="J233" s="34"/>
      <c r="N233" s="12"/>
      <c r="O233" s="12"/>
    </row>
    <row r="234" ht="12.75" spans="1:15">
      <c r="A234" s="12" t="str">
        <f>IFERROR(__xludf.DUMMYFUNCTION("""COMPUTED_VALUE"""),"RZAT11")</f>
        <v>RZAT11</v>
      </c>
      <c r="B234" s="12">
        <f>IFERROR(__xludf.DUMMYFUNCTION("""COMPUTED_VALUE"""),20)</f>
        <v>20</v>
      </c>
      <c r="C234" s="26">
        <f>IFERROR(__xludf.DUMMYFUNCTION("""COMPUTED_VALUE"""),2096.62)</f>
        <v>2096.62</v>
      </c>
      <c r="D234" s="27">
        <f>IFERROR(__xludf.DUMMYFUNCTION("""COMPUTED_VALUE"""),44698)</f>
        <v>44698</v>
      </c>
      <c r="H234" s="29"/>
      <c r="I234" s="12"/>
      <c r="J234" s="34"/>
      <c r="N234" s="12"/>
      <c r="O234" s="12"/>
    </row>
    <row r="235" ht="12.75" spans="1:15">
      <c r="A235" s="12" t="str">
        <f>IFERROR(__xludf.DUMMYFUNCTION("""COMPUTED_VALUE"""),"MFII11")</f>
        <v>MFII11</v>
      </c>
      <c r="B235" s="12">
        <f>IFERROR(__xludf.DUMMYFUNCTION("""COMPUTED_VALUE"""),20)</f>
        <v>20</v>
      </c>
      <c r="C235" s="26">
        <f>IFERROR(__xludf.DUMMYFUNCTION("""COMPUTED_VALUE"""),1920.57)</f>
        <v>1920.57</v>
      </c>
      <c r="D235" s="27">
        <f>IFERROR(__xludf.DUMMYFUNCTION("""COMPUTED_VALUE"""),44697)</f>
        <v>44697</v>
      </c>
      <c r="H235" s="29"/>
      <c r="I235" s="12"/>
      <c r="J235" s="34"/>
      <c r="N235" s="12"/>
      <c r="O235" s="12"/>
    </row>
    <row r="236" ht="12.75" spans="1:15">
      <c r="A236" s="12" t="str">
        <f>IFERROR(__xludf.DUMMYFUNCTION("""COMPUTED_VALUE"""),"LVBI11")</f>
        <v>LVBI11</v>
      </c>
      <c r="B236" s="12">
        <f>IFERROR(__xludf.DUMMYFUNCTION("""COMPUTED_VALUE"""),30)</f>
        <v>30</v>
      </c>
      <c r="C236" s="26">
        <f>IFERROR(__xludf.DUMMYFUNCTION("""COMPUTED_VALUE"""),2925.87)</f>
        <v>2925.87</v>
      </c>
      <c r="D236" s="27">
        <f>IFERROR(__xludf.DUMMYFUNCTION("""COMPUTED_VALUE"""),44686)</f>
        <v>44686</v>
      </c>
      <c r="H236" s="29"/>
      <c r="I236" s="12"/>
      <c r="J236" s="34"/>
      <c r="N236" s="12"/>
      <c r="O236" s="12"/>
    </row>
    <row r="237" ht="12.75" spans="1:26">
      <c r="A237" s="12" t="str">
        <f>IFERROR(__xludf.DUMMYFUNCTION("""COMPUTED_VALUE"""),"LVBI11")</f>
        <v>LVBI11</v>
      </c>
      <c r="B237" s="12">
        <f>IFERROR(__xludf.DUMMYFUNCTION("""COMPUTED_VALUE"""),65)</f>
        <v>65</v>
      </c>
      <c r="C237" s="26">
        <f>IFERROR(__xludf.DUMMYFUNCTION("""COMPUTED_VALUE"""),6483.08999999999)</f>
        <v>6483.08999999999</v>
      </c>
      <c r="D237" s="27">
        <f>IFERROR(__xludf.DUMMYFUNCTION("""COMPUTED_VALUE"""),44680)</f>
        <v>44680</v>
      </c>
      <c r="H237" s="29"/>
      <c r="I237" s="12"/>
      <c r="J237" s="34"/>
      <c r="N237" s="12"/>
      <c r="O237" s="12"/>
      <c r="U237" s="11"/>
      <c r="V237" s="14"/>
      <c r="W237" s="29"/>
      <c r="X237" s="15"/>
      <c r="Y237" s="15"/>
      <c r="Z237" s="72"/>
    </row>
    <row r="238" ht="12.75" spans="1:26">
      <c r="A238" s="12" t="str">
        <f>IFERROR(__xludf.DUMMYFUNCTION("""COMPUTED_VALUE"""),"BRCO11")</f>
        <v>BRCO11</v>
      </c>
      <c r="B238" s="12">
        <f>IFERROR(__xludf.DUMMYFUNCTION("""COMPUTED_VALUE"""),30)</f>
        <v>30</v>
      </c>
      <c r="C238" s="26">
        <f>IFERROR(__xludf.DUMMYFUNCTION("""COMPUTED_VALUE"""),2854.74999999999)</f>
        <v>2854.74999999999</v>
      </c>
      <c r="D238" s="27">
        <f>IFERROR(__xludf.DUMMYFUNCTION("""COMPUTED_VALUE"""),44637)</f>
        <v>44637</v>
      </c>
      <c r="H238" s="29"/>
      <c r="I238" s="12"/>
      <c r="J238" s="34"/>
      <c r="N238" s="12"/>
      <c r="O238" s="12"/>
      <c r="U238" s="11"/>
      <c r="V238" s="14"/>
      <c r="W238" s="29"/>
      <c r="X238" s="15"/>
      <c r="Y238" s="15"/>
      <c r="Z238" s="75"/>
    </row>
    <row r="239" ht="12.75" spans="1:26">
      <c r="A239" s="12" t="str">
        <f>IFERROR(__xludf.DUMMYFUNCTION("""COMPUTED_VALUE"""),"LVBI11")</f>
        <v>LVBI11</v>
      </c>
      <c r="B239" s="12">
        <f>IFERROR(__xludf.DUMMYFUNCTION("""COMPUTED_VALUE"""),30)</f>
        <v>30</v>
      </c>
      <c r="C239" s="26">
        <f>IFERROR(__xludf.DUMMYFUNCTION("""COMPUTED_VALUE"""),2925.88)</f>
        <v>2925.88</v>
      </c>
      <c r="D239" s="27">
        <f>IFERROR(__xludf.DUMMYFUNCTION("""COMPUTED_VALUE"""),44629)</f>
        <v>44629</v>
      </c>
      <c r="H239" s="29"/>
      <c r="I239" s="12"/>
      <c r="J239" s="34"/>
      <c r="N239" s="12"/>
      <c r="O239" s="12"/>
      <c r="U239" s="11"/>
      <c r="V239" s="14"/>
      <c r="W239" s="29"/>
      <c r="X239" s="15"/>
      <c r="Y239" s="15"/>
      <c r="Z239" s="72"/>
    </row>
    <row r="240" ht="12.75" spans="1:26">
      <c r="A240" s="12" t="str">
        <f>IFERROR(__xludf.DUMMYFUNCTION("""COMPUTED_VALUE"""),"LVBI11")</f>
        <v>LVBI11</v>
      </c>
      <c r="B240" s="12">
        <f>IFERROR(__xludf.DUMMYFUNCTION("""COMPUTED_VALUE"""),30)</f>
        <v>30</v>
      </c>
      <c r="C240" s="26">
        <f>IFERROR(__xludf.DUMMYFUNCTION("""COMPUTED_VALUE"""),2940.89)</f>
        <v>2940.89</v>
      </c>
      <c r="D240" s="27">
        <f>IFERROR(__xludf.DUMMYFUNCTION("""COMPUTED_VALUE"""),44616)</f>
        <v>44616</v>
      </c>
      <c r="H240" s="29"/>
      <c r="I240" s="12"/>
      <c r="J240" s="34"/>
      <c r="N240" s="12"/>
      <c r="O240" s="12"/>
      <c r="U240" s="11"/>
      <c r="V240" s="14"/>
      <c r="W240" s="29"/>
      <c r="X240" s="15"/>
      <c r="Y240" s="15"/>
      <c r="Z240" s="75"/>
    </row>
    <row r="241" ht="12.75" spans="1:26">
      <c r="A241" s="12" t="str">
        <f>IFERROR(__xludf.DUMMYFUNCTION("""COMPUTED_VALUE"""),"CPTI11")</f>
        <v>CPTI11</v>
      </c>
      <c r="B241" s="12">
        <f>IFERROR(__xludf.DUMMYFUNCTION("""COMPUTED_VALUE"""),20)</f>
        <v>20</v>
      </c>
      <c r="C241" s="26">
        <f>IFERROR(__xludf.DUMMYFUNCTION("""COMPUTED_VALUE"""),2011.8)</f>
        <v>2011.8</v>
      </c>
      <c r="D241" s="27">
        <f>IFERROR(__xludf.DUMMYFUNCTION("""COMPUTED_VALUE"""),44615)</f>
        <v>44615</v>
      </c>
      <c r="H241" s="29"/>
      <c r="I241" s="12"/>
      <c r="J241" s="34"/>
      <c r="N241" s="12"/>
      <c r="O241" s="12"/>
      <c r="U241" s="11"/>
      <c r="V241" s="14"/>
      <c r="W241" s="29"/>
      <c r="X241" s="15"/>
      <c r="Y241" s="15"/>
      <c r="Z241" s="72"/>
    </row>
    <row r="242" ht="12.75" spans="1:26">
      <c r="A242" s="12" t="str">
        <f>IFERROR(__xludf.DUMMYFUNCTION("""COMPUTED_VALUE"""),"BRCO11")</f>
        <v>BRCO11</v>
      </c>
      <c r="B242" s="12">
        <f>IFERROR(__xludf.DUMMYFUNCTION("""COMPUTED_VALUE"""),20)</f>
        <v>20</v>
      </c>
      <c r="C242" s="26">
        <f>IFERROR(__xludf.DUMMYFUNCTION("""COMPUTED_VALUE"""),1960.36)</f>
        <v>1960.36</v>
      </c>
      <c r="D242" s="27">
        <f>IFERROR(__xludf.DUMMYFUNCTION("""COMPUTED_VALUE"""),44592)</f>
        <v>44592</v>
      </c>
      <c r="H242" s="29"/>
      <c r="I242" s="12"/>
      <c r="J242" s="34"/>
      <c r="N242" s="12"/>
      <c r="O242" s="12"/>
      <c r="U242" s="11"/>
      <c r="V242" s="14"/>
      <c r="W242" s="29"/>
      <c r="X242" s="15"/>
      <c r="Y242" s="15"/>
      <c r="Z242" s="74"/>
    </row>
    <row r="243" ht="12.75" spans="1:25">
      <c r="A243" s="12" t="str">
        <f>IFERROR(__xludf.DUMMYFUNCTION("""COMPUTED_VALUE"""),"CPTI11")</f>
        <v>CPTI11</v>
      </c>
      <c r="B243" s="12">
        <f>IFERROR(__xludf.DUMMYFUNCTION("""COMPUTED_VALUE"""),30)</f>
        <v>30</v>
      </c>
      <c r="C243" s="26">
        <f>IFERROR(__xludf.DUMMYFUNCTION("""COMPUTED_VALUE"""),2999.33999999999)</f>
        <v>2999.33999999999</v>
      </c>
      <c r="D243" s="27">
        <f>IFERROR(__xludf.DUMMYFUNCTION("""COMPUTED_VALUE"""),44592)</f>
        <v>44592</v>
      </c>
      <c r="H243" s="29"/>
      <c r="I243" s="12"/>
      <c r="J243" s="34"/>
      <c r="N243" s="12"/>
      <c r="O243" s="12"/>
      <c r="U243" s="11"/>
      <c r="V243" s="14"/>
      <c r="W243" s="29"/>
      <c r="X243" s="15"/>
      <c r="Y243" s="15"/>
    </row>
    <row r="244" ht="12.75" spans="1:25">
      <c r="A244" s="12" t="str">
        <f>IFERROR(__xludf.DUMMYFUNCTION("""COMPUTED_VALUE"""),"NCHB11")</f>
        <v>NCHB11</v>
      </c>
      <c r="B244" s="12">
        <f>IFERROR(__xludf.DUMMYFUNCTION("""COMPUTED_VALUE"""),153)</f>
        <v>153</v>
      </c>
      <c r="C244" s="26">
        <f>IFERROR(__xludf.DUMMYFUNCTION("""COMPUTED_VALUE"""),1547.45)</f>
        <v>1547.45</v>
      </c>
      <c r="D244" s="27">
        <f>IFERROR(__xludf.DUMMYFUNCTION("""COMPUTED_VALUE"""),44552)</f>
        <v>44552</v>
      </c>
      <c r="H244" s="29"/>
      <c r="I244" s="12"/>
      <c r="J244" s="34"/>
      <c r="N244" s="12"/>
      <c r="O244" s="12"/>
      <c r="U244" s="11"/>
      <c r="V244" s="14"/>
      <c r="W244" s="29"/>
      <c r="X244" s="15"/>
      <c r="Y244" s="15"/>
    </row>
    <row r="245" ht="12.75" spans="1:25">
      <c r="A245" s="12" t="str">
        <f>IFERROR(__xludf.DUMMYFUNCTION("""COMPUTED_VALUE"""),"TGAR11")</f>
        <v>TGAR11</v>
      </c>
      <c r="B245" s="12">
        <f>IFERROR(__xludf.DUMMYFUNCTION("""COMPUTED_VALUE"""),30)</f>
        <v>30</v>
      </c>
      <c r="C245" s="26">
        <f>IFERROR(__xludf.DUMMYFUNCTION("""COMPUTED_VALUE"""),3388)</f>
        <v>3388</v>
      </c>
      <c r="D245" s="27">
        <f>IFERROR(__xludf.DUMMYFUNCTION("""COMPUTED_VALUE"""),44551)</f>
        <v>44551</v>
      </c>
      <c r="H245" s="29"/>
      <c r="I245" s="12"/>
      <c r="J245" s="34"/>
      <c r="N245" s="12"/>
      <c r="O245" s="12"/>
      <c r="U245" s="11"/>
      <c r="V245" s="15"/>
      <c r="W245" s="29"/>
      <c r="X245" s="15"/>
      <c r="Y245" s="15"/>
    </row>
    <row r="246" ht="12.75" spans="1:25">
      <c r="A246" s="12" t="str">
        <f>IFERROR(__xludf.DUMMYFUNCTION("""COMPUTED_VALUE"""),"TGAR11")</f>
        <v>TGAR11</v>
      </c>
      <c r="B246" s="12">
        <f>IFERROR(__xludf.DUMMYFUNCTION("""COMPUTED_VALUE"""),30)</f>
        <v>30</v>
      </c>
      <c r="C246" s="26">
        <f>IFERROR(__xludf.DUMMYFUNCTION("""COMPUTED_VALUE"""),3355.29)</f>
        <v>3355.29</v>
      </c>
      <c r="D246" s="27">
        <f>IFERROR(__xludf.DUMMYFUNCTION("""COMPUTED_VALUE"""),44531)</f>
        <v>44531</v>
      </c>
      <c r="H246" s="29"/>
      <c r="I246" s="12"/>
      <c r="J246" s="34"/>
      <c r="N246" s="12"/>
      <c r="O246" s="12"/>
      <c r="U246" s="11"/>
      <c r="V246" s="14"/>
      <c r="W246" s="29"/>
      <c r="X246" s="15"/>
      <c r="Y246" s="15"/>
    </row>
    <row r="247" ht="12.75" spans="1:25">
      <c r="A247" s="12" t="str">
        <f>IFERROR(__xludf.DUMMYFUNCTION("""COMPUTED_VALUE"""),"LVBI11")</f>
        <v>LVBI11</v>
      </c>
      <c r="B247" s="12">
        <f>IFERROR(__xludf.DUMMYFUNCTION("""COMPUTED_VALUE"""),50)</f>
        <v>50</v>
      </c>
      <c r="C247" s="26">
        <f>IFERROR(__xludf.DUMMYFUNCTION("""COMPUTED_VALUE"""),4291.28)</f>
        <v>4291.28</v>
      </c>
      <c r="D247" s="27">
        <f>IFERROR(__xludf.DUMMYFUNCTION("""COMPUTED_VALUE"""),44529)</f>
        <v>44529</v>
      </c>
      <c r="H247" s="29"/>
      <c r="I247" s="12"/>
      <c r="J247" s="34"/>
      <c r="N247" s="12"/>
      <c r="O247" s="12"/>
      <c r="U247" s="62"/>
      <c r="V247" s="69"/>
      <c r="W247" s="63"/>
      <c r="X247" s="74"/>
      <c r="Y247" s="74"/>
    </row>
    <row r="248" ht="12.75" spans="1:15">
      <c r="A248" s="12" t="str">
        <f>IFERROR(__xludf.DUMMYFUNCTION("""COMPUTED_VALUE"""),"TGAR11")</f>
        <v>TGAR11</v>
      </c>
      <c r="B248" s="12">
        <f>IFERROR(__xludf.DUMMYFUNCTION("""COMPUTED_VALUE"""),20)</f>
        <v>20</v>
      </c>
      <c r="C248" s="26">
        <f>IFERROR(__xludf.DUMMYFUNCTION("""COMPUTED_VALUE"""),2276.71)</f>
        <v>2276.71</v>
      </c>
      <c r="D248" s="27">
        <f>IFERROR(__xludf.DUMMYFUNCTION("""COMPUTED_VALUE"""),44517)</f>
        <v>44517</v>
      </c>
      <c r="H248" s="29"/>
      <c r="I248" s="12"/>
      <c r="J248" s="34"/>
      <c r="N248" s="12"/>
      <c r="O248" s="12"/>
    </row>
    <row r="249" ht="12.75" spans="1:15">
      <c r="A249" s="12" t="str">
        <f>IFERROR(__xludf.DUMMYFUNCTION("""COMPUTED_VALUE"""),"HGRE11")</f>
        <v>HGRE11</v>
      </c>
      <c r="B249" s="12">
        <f>IFERROR(__xludf.DUMMYFUNCTION("""COMPUTED_VALUE"""),20)</f>
        <v>20</v>
      </c>
      <c r="C249" s="26">
        <f>IFERROR(__xludf.DUMMYFUNCTION("""COMPUTED_VALUE"""),2346.69)</f>
        <v>2346.69</v>
      </c>
      <c r="D249" s="27">
        <f>IFERROR(__xludf.DUMMYFUNCTION("""COMPUTED_VALUE"""),44516)</f>
        <v>44516</v>
      </c>
      <c r="H249" s="29"/>
      <c r="I249" s="12"/>
      <c r="J249" s="34"/>
      <c r="N249" s="12"/>
      <c r="O249" s="12"/>
    </row>
    <row r="250" ht="12.75" spans="1:15">
      <c r="A250" s="12" t="str">
        <f>IFERROR(__xludf.DUMMYFUNCTION("""COMPUTED_VALUE"""),"HGLG11")</f>
        <v>HGLG11</v>
      </c>
      <c r="B250" s="12">
        <f>IFERROR(__xludf.DUMMYFUNCTION("""COMPUTED_VALUE"""),20)</f>
        <v>20</v>
      </c>
      <c r="C250" s="26">
        <f>IFERROR(__xludf.DUMMYFUNCTION("""COMPUTED_VALUE"""),3191.96)</f>
        <v>3191.96</v>
      </c>
      <c r="D250" s="27">
        <f>IFERROR(__xludf.DUMMYFUNCTION("""COMPUTED_VALUE"""),44516)</f>
        <v>44516</v>
      </c>
      <c r="H250" s="29"/>
      <c r="I250" s="12"/>
      <c r="J250" s="34"/>
      <c r="N250" s="12"/>
      <c r="O250" s="12"/>
    </row>
    <row r="251" ht="12.75" spans="1:15">
      <c r="A251" s="12" t="str">
        <f>IFERROR(__xludf.DUMMYFUNCTION("""COMPUTED_VALUE"""),"MFII11")</f>
        <v>MFII11</v>
      </c>
      <c r="B251" s="12">
        <f>IFERROR(__xludf.DUMMYFUNCTION("""COMPUTED_VALUE"""),30)</f>
        <v>30</v>
      </c>
      <c r="C251" s="26">
        <f>IFERROR(__xludf.DUMMYFUNCTION("""COMPUTED_VALUE"""),3416.49)</f>
        <v>3416.49</v>
      </c>
      <c r="D251" s="27">
        <f>IFERROR(__xludf.DUMMYFUNCTION("""COMPUTED_VALUE"""),44498)</f>
        <v>44498</v>
      </c>
      <c r="H251" s="29"/>
      <c r="I251" s="12"/>
      <c r="J251" s="34"/>
      <c r="N251" s="12"/>
      <c r="O251" s="12"/>
    </row>
    <row r="252" ht="12.75" spans="1:15">
      <c r="A252" s="12" t="str">
        <f>IFERROR(__xludf.DUMMYFUNCTION("""COMPUTED_VALUE"""),"CVBI11")</f>
        <v>CVBI11</v>
      </c>
      <c r="B252" s="12">
        <f>IFERROR(__xludf.DUMMYFUNCTION("""COMPUTED_VALUE"""),30)</f>
        <v>30</v>
      </c>
      <c r="C252" s="26">
        <f>IFERROR(__xludf.DUMMYFUNCTION("""COMPUTED_VALUE"""),3045.91)</f>
        <v>3045.91</v>
      </c>
      <c r="D252" s="27">
        <f>IFERROR(__xludf.DUMMYFUNCTION("""COMPUTED_VALUE"""),44498)</f>
        <v>44498</v>
      </c>
      <c r="H252" s="29"/>
      <c r="I252" s="12"/>
      <c r="J252" s="34"/>
      <c r="N252" s="12"/>
      <c r="O252" s="12"/>
    </row>
    <row r="253" ht="12.75" spans="1:15">
      <c r="A253" s="12" t="str">
        <f>IFERROR(__xludf.DUMMYFUNCTION("""COMPUTED_VALUE"""),"RZTR11")</f>
        <v>RZTR11</v>
      </c>
      <c r="B253" s="12">
        <f>IFERROR(__xludf.DUMMYFUNCTION("""COMPUTED_VALUE"""),30)</f>
        <v>30</v>
      </c>
      <c r="C253" s="26">
        <f>IFERROR(__xludf.DUMMYFUNCTION("""COMPUTED_VALUE"""),2885.35999999999)</f>
        <v>2885.35999999999</v>
      </c>
      <c r="D253" s="27">
        <f>IFERROR(__xludf.DUMMYFUNCTION("""COMPUTED_VALUE"""),44497)</f>
        <v>44497</v>
      </c>
      <c r="H253" s="29"/>
      <c r="I253" s="12"/>
      <c r="J253" s="34"/>
      <c r="N253" s="12"/>
      <c r="O253" s="12"/>
    </row>
    <row r="254" ht="12.75" spans="1:15">
      <c r="A254" s="12" t="str">
        <f>IFERROR(__xludf.DUMMYFUNCTION("""COMPUTED_VALUE"""),"RZTR11")</f>
        <v>RZTR11</v>
      </c>
      <c r="B254" s="12">
        <f>IFERROR(__xludf.DUMMYFUNCTION("""COMPUTED_VALUE"""),30)</f>
        <v>30</v>
      </c>
      <c r="C254" s="26">
        <f>IFERROR(__xludf.DUMMYFUNCTION("""COMPUTED_VALUE"""),2886.85999999999)</f>
        <v>2886.85999999999</v>
      </c>
      <c r="D254" s="27">
        <f>IFERROR(__xludf.DUMMYFUNCTION("""COMPUTED_VALUE"""),44497)</f>
        <v>44497</v>
      </c>
      <c r="H254" s="29"/>
      <c r="I254" s="12"/>
      <c r="J254" s="34"/>
      <c r="N254" s="12"/>
      <c r="O254" s="12"/>
    </row>
    <row r="255" ht="12.75" spans="1:15">
      <c r="A255" s="12" t="str">
        <f>IFERROR(__xludf.DUMMYFUNCTION("""COMPUTED_VALUE"""),"HGLG11")</f>
        <v>HGLG11</v>
      </c>
      <c r="B255" s="12">
        <f>IFERROR(__xludf.DUMMYFUNCTION("""COMPUTED_VALUE"""),25)</f>
        <v>25</v>
      </c>
      <c r="C255" s="26">
        <f>IFERROR(__xludf.DUMMYFUNCTION("""COMPUTED_VALUE"""),4113.74)</f>
        <v>4113.74</v>
      </c>
      <c r="D255" s="27">
        <f>IFERROR(__xludf.DUMMYFUNCTION("""COMPUTED_VALUE"""),44497)</f>
        <v>44497</v>
      </c>
      <c r="H255" s="29"/>
      <c r="I255" s="12"/>
      <c r="J255" s="34"/>
      <c r="N255" s="12"/>
      <c r="O255" s="12"/>
    </row>
    <row r="256" ht="12.75" spans="1:15">
      <c r="A256" s="12" t="str">
        <f>IFERROR(__xludf.DUMMYFUNCTION("""COMPUTED_VALUE"""),"HGLG11")</f>
        <v>HGLG11</v>
      </c>
      <c r="B256" s="12">
        <f>IFERROR(__xludf.DUMMYFUNCTION("""COMPUTED_VALUE"""),30)</f>
        <v>30</v>
      </c>
      <c r="C256" s="26">
        <f>IFERROR(__xludf.DUMMYFUNCTION("""COMPUTED_VALUE"""),4951.48)</f>
        <v>4951.48</v>
      </c>
      <c r="D256" s="27">
        <f>IFERROR(__xludf.DUMMYFUNCTION("""COMPUTED_VALUE"""),44497)</f>
        <v>44497</v>
      </c>
      <c r="H256" s="29"/>
      <c r="I256" s="12"/>
      <c r="J256" s="34"/>
      <c r="N256" s="12"/>
      <c r="O256" s="12"/>
    </row>
    <row r="257" ht="12.75" spans="1:15">
      <c r="A257" s="12" t="str">
        <f>IFERROR(__xludf.DUMMYFUNCTION("""COMPUTED_VALUE"""),"LVBI11")</f>
        <v>LVBI11</v>
      </c>
      <c r="B257" s="12">
        <f>IFERROR(__xludf.DUMMYFUNCTION("""COMPUTED_VALUE"""),30)</f>
        <v>30</v>
      </c>
      <c r="C257" s="26">
        <f>IFERROR(__xludf.DUMMYFUNCTION("""COMPUTED_VALUE"""),2925.87)</f>
        <v>2925.87</v>
      </c>
      <c r="D257" s="27">
        <f>IFERROR(__xludf.DUMMYFUNCTION("""COMPUTED_VALUE"""),44495)</f>
        <v>44495</v>
      </c>
      <c r="H257" s="29"/>
      <c r="I257" s="12"/>
      <c r="J257" s="34"/>
      <c r="N257" s="12"/>
      <c r="O257" s="12"/>
    </row>
    <row r="258" ht="12.75" spans="1:15">
      <c r="A258" s="12" t="str">
        <f>IFERROR(__xludf.DUMMYFUNCTION("""COMPUTED_VALUE"""),"RZTR11")</f>
        <v>RZTR11</v>
      </c>
      <c r="B258" s="12">
        <f>IFERROR(__xludf.DUMMYFUNCTION("""COMPUTED_VALUE"""),30)</f>
        <v>30</v>
      </c>
      <c r="C258" s="26">
        <f>IFERROR(__xludf.DUMMYFUNCTION("""COMPUTED_VALUE"""),2895.85999999999)</f>
        <v>2895.85999999999</v>
      </c>
      <c r="D258" s="27">
        <f>IFERROR(__xludf.DUMMYFUNCTION("""COMPUTED_VALUE"""),44495)</f>
        <v>44495</v>
      </c>
      <c r="H258" s="29"/>
      <c r="I258" s="12"/>
      <c r="J258" s="34"/>
      <c r="N258" s="12"/>
      <c r="O258" s="12"/>
    </row>
    <row r="259" ht="12.75" spans="1:15">
      <c r="A259" s="12" t="str">
        <f>IFERROR(__xludf.DUMMYFUNCTION("""COMPUTED_VALUE"""),"RZTR11")</f>
        <v>RZTR11</v>
      </c>
      <c r="B259" s="12">
        <f>IFERROR(__xludf.DUMMYFUNCTION("""COMPUTED_VALUE"""),40)</f>
        <v>40</v>
      </c>
      <c r="C259" s="26">
        <f>IFERROR(__xludf.DUMMYFUNCTION("""COMPUTED_VALUE"""),3881.16)</f>
        <v>3881.16</v>
      </c>
      <c r="D259" s="27">
        <f>IFERROR(__xludf.DUMMYFUNCTION("""COMPUTED_VALUE"""),44495)</f>
        <v>44495</v>
      </c>
      <c r="H259" s="29"/>
      <c r="I259" s="12"/>
      <c r="J259" s="34"/>
      <c r="N259" s="12"/>
      <c r="O259" s="12"/>
    </row>
    <row r="260" ht="12.75" spans="1:15">
      <c r="A260" s="12" t="str">
        <f>IFERROR(__xludf.DUMMYFUNCTION("""COMPUTED_VALUE"""),"LVBI11")</f>
        <v>LVBI11</v>
      </c>
      <c r="B260" s="12">
        <f>IFERROR(__xludf.DUMMYFUNCTION("""COMPUTED_VALUE"""),30)</f>
        <v>30</v>
      </c>
      <c r="C260" s="26">
        <f>IFERROR(__xludf.DUMMYFUNCTION("""COMPUTED_VALUE"""),3000.9)</f>
        <v>3000.9</v>
      </c>
      <c r="D260" s="27">
        <f>IFERROR(__xludf.DUMMYFUNCTION("""COMPUTED_VALUE"""),44490)</f>
        <v>44490</v>
      </c>
      <c r="H260" s="29"/>
      <c r="I260" s="12"/>
      <c r="J260" s="34"/>
      <c r="N260" s="12"/>
      <c r="O260" s="12"/>
    </row>
    <row r="261" ht="12.75" spans="1:15">
      <c r="A261" s="12" t="str">
        <f>IFERROR(__xludf.DUMMYFUNCTION("""COMPUTED_VALUE"""),"HGRE11")</f>
        <v>HGRE11</v>
      </c>
      <c r="B261" s="12">
        <f>IFERROR(__xludf.DUMMYFUNCTION("""COMPUTED_VALUE"""),30)</f>
        <v>30</v>
      </c>
      <c r="C261" s="26">
        <f>IFERROR(__xludf.DUMMYFUNCTION("""COMPUTED_VALUE"""),3871.15)</f>
        <v>3871.15</v>
      </c>
      <c r="D261" s="27">
        <f>IFERROR(__xludf.DUMMYFUNCTION("""COMPUTED_VALUE"""),44489)</f>
        <v>44489</v>
      </c>
      <c r="H261" s="29"/>
      <c r="I261" s="12"/>
      <c r="J261" s="34"/>
      <c r="N261" s="12"/>
      <c r="O261" s="12"/>
    </row>
    <row r="262" ht="12.75" spans="1:15">
      <c r="A262" s="12" t="str">
        <f>IFERROR(__xludf.DUMMYFUNCTION("""COMPUTED_VALUE"""),"HGRE11")</f>
        <v>HGRE11</v>
      </c>
      <c r="B262" s="12">
        <f>IFERROR(__xludf.DUMMYFUNCTION("""COMPUTED_VALUE"""),30)</f>
        <v>30</v>
      </c>
      <c r="C262" s="26">
        <f>IFERROR(__xludf.DUMMYFUNCTION("""COMPUTED_VALUE"""),3885.54999999999)</f>
        <v>3885.54999999999</v>
      </c>
      <c r="D262" s="27">
        <f>IFERROR(__xludf.DUMMYFUNCTION("""COMPUTED_VALUE"""),44489)</f>
        <v>44489</v>
      </c>
      <c r="H262" s="29"/>
      <c r="I262" s="12"/>
      <c r="J262" s="34"/>
      <c r="N262" s="12"/>
      <c r="O262" s="12"/>
    </row>
    <row r="263" ht="12.75" spans="1:15">
      <c r="A263" s="12" t="str">
        <f>IFERROR(__xludf.DUMMYFUNCTION("""COMPUTED_VALUE"""),"HGRE11")</f>
        <v>HGRE11</v>
      </c>
      <c r="B263" s="12">
        <f>IFERROR(__xludf.DUMMYFUNCTION("""COMPUTED_VALUE"""),30)</f>
        <v>30</v>
      </c>
      <c r="C263" s="26">
        <f>IFERROR(__xludf.DUMMYFUNCTION("""COMPUTED_VALUE"""),3871.15)</f>
        <v>3871.15</v>
      </c>
      <c r="D263" s="27">
        <f>IFERROR(__xludf.DUMMYFUNCTION("""COMPUTED_VALUE"""),44473)</f>
        <v>44473</v>
      </c>
      <c r="H263" s="29"/>
      <c r="I263" s="12"/>
      <c r="J263" s="34"/>
      <c r="N263" s="12"/>
      <c r="O263" s="12"/>
    </row>
    <row r="264" ht="12.75" spans="1:15">
      <c r="A264" s="12" t="str">
        <f>IFERROR(__xludf.DUMMYFUNCTION("""COMPUTED_VALUE"""),"LVBI11")</f>
        <v>LVBI11</v>
      </c>
      <c r="B264" s="12">
        <f>IFERROR(__xludf.DUMMYFUNCTION("""COMPUTED_VALUE"""),20)</f>
        <v>20</v>
      </c>
      <c r="C264" s="26">
        <f>IFERROR(__xludf.DUMMYFUNCTION("""COMPUTED_VALUE"""),2010.6)</f>
        <v>2010.6</v>
      </c>
      <c r="D264" s="27">
        <f>IFERROR(__xludf.DUMMYFUNCTION("""COMPUTED_VALUE"""),44470)</f>
        <v>44470</v>
      </c>
      <c r="H264" s="29"/>
      <c r="I264" s="12"/>
      <c r="J264" s="34"/>
      <c r="N264" s="12"/>
      <c r="O264" s="12"/>
    </row>
    <row r="265" ht="12.75" spans="1:15">
      <c r="A265" s="12" t="str">
        <f>IFERROR(__xludf.DUMMYFUNCTION("""COMPUTED_VALUE"""),"HGLG11")</f>
        <v>HGLG11</v>
      </c>
      <c r="B265" s="12">
        <f>IFERROR(__xludf.DUMMYFUNCTION("""COMPUTED_VALUE"""),11)</f>
        <v>11</v>
      </c>
      <c r="C265" s="26">
        <f>IFERROR(__xludf.DUMMYFUNCTION("""COMPUTED_VALUE"""),1775.37)</f>
        <v>1775.37</v>
      </c>
      <c r="D265" s="27">
        <f>IFERROR(__xludf.DUMMYFUNCTION("""COMPUTED_VALUE"""),44459)</f>
        <v>44459</v>
      </c>
      <c r="H265" s="29"/>
      <c r="I265" s="12"/>
      <c r="J265" s="34"/>
      <c r="N265" s="12"/>
      <c r="O265" s="12"/>
    </row>
    <row r="266" ht="12.75" spans="1:15">
      <c r="A266" s="12" t="str">
        <f>IFERROR(__xludf.DUMMYFUNCTION("""COMPUTED_VALUE"""),"HGLG11")</f>
        <v>HGLG11</v>
      </c>
      <c r="B266" s="12">
        <f>IFERROR(__xludf.DUMMYFUNCTION("""COMPUTED_VALUE"""),15)</f>
        <v>15</v>
      </c>
      <c r="C266" s="26">
        <f>IFERROR(__xludf.DUMMYFUNCTION("""COMPUTED_VALUE"""),2440.47)</f>
        <v>2440.47</v>
      </c>
      <c r="D266" s="27">
        <f>IFERROR(__xludf.DUMMYFUNCTION("""COMPUTED_VALUE"""),44455)</f>
        <v>44455</v>
      </c>
      <c r="H266" s="29"/>
      <c r="I266" s="12"/>
      <c r="J266" s="34"/>
      <c r="N266" s="12"/>
      <c r="O266" s="12"/>
    </row>
    <row r="267" ht="12.75" spans="1:15">
      <c r="A267" s="12" t="str">
        <f>IFERROR(__xludf.DUMMYFUNCTION("""COMPUTED_VALUE"""),"NCHB11")</f>
        <v>NCHB11</v>
      </c>
      <c r="B267" s="12">
        <f>IFERROR(__xludf.DUMMYFUNCTION("""COMPUTED_VALUE"""),387)</f>
        <v>387</v>
      </c>
      <c r="C267" s="26">
        <f>IFERROR(__xludf.DUMMYFUNCTION("""COMPUTED_VALUE"""),3914.16)</f>
        <v>3914.16</v>
      </c>
      <c r="D267" s="27">
        <f>IFERROR(__xludf.DUMMYFUNCTION("""COMPUTED_VALUE"""),44437)</f>
        <v>44437</v>
      </c>
      <c r="H267" s="29"/>
      <c r="I267" s="12"/>
      <c r="J267" s="34"/>
      <c r="N267" s="12"/>
      <c r="O267" s="12"/>
    </row>
    <row r="268" ht="12.75" spans="1:15">
      <c r="A268" s="12" t="str">
        <f>IFERROR(__xludf.DUMMYFUNCTION("""COMPUTED_VALUE"""),"MFII11")</f>
        <v>MFII11</v>
      </c>
      <c r="B268" s="12">
        <f>IFERROR(__xludf.DUMMYFUNCTION("""COMPUTED_VALUE"""),50)</f>
        <v>50</v>
      </c>
      <c r="C268" s="26">
        <f>IFERROR(__xludf.DUMMYFUNCTION("""COMPUTED_VALUE"""),5616.67999999999)</f>
        <v>5616.67999999999</v>
      </c>
      <c r="D268" s="27">
        <f>IFERROR(__xludf.DUMMYFUNCTION("""COMPUTED_VALUE"""),44432)</f>
        <v>44432</v>
      </c>
      <c r="H268" s="29"/>
      <c r="I268" s="12"/>
      <c r="J268" s="34"/>
      <c r="N268" s="12"/>
      <c r="O268" s="12"/>
    </row>
    <row r="269" ht="12.75" spans="1:15">
      <c r="A269" s="12" t="str">
        <f>IFERROR(__xludf.DUMMYFUNCTION("""COMPUTED_VALUE"""),"LVBI11")</f>
        <v>LVBI11</v>
      </c>
      <c r="B269" s="12">
        <f>IFERROR(__xludf.DUMMYFUNCTION("""COMPUTED_VALUE"""),30)</f>
        <v>30</v>
      </c>
      <c r="C269" s="26">
        <f>IFERROR(__xludf.DUMMYFUNCTION("""COMPUTED_VALUE"""),3015.9)</f>
        <v>3015.9</v>
      </c>
      <c r="D269" s="27">
        <f>IFERROR(__xludf.DUMMYFUNCTION("""COMPUTED_VALUE"""),44424)</f>
        <v>44424</v>
      </c>
      <c r="H269" s="29"/>
      <c r="I269" s="12"/>
      <c r="J269" s="34"/>
      <c r="N269" s="12"/>
      <c r="O269" s="12"/>
    </row>
    <row r="270" ht="12.75" spans="1:15">
      <c r="A270" s="12" t="str">
        <f>IFERROR(__xludf.DUMMYFUNCTION("""COMPUTED_VALUE"""),"LVBI11")</f>
        <v>LVBI11</v>
      </c>
      <c r="B270" s="12">
        <f>IFERROR(__xludf.DUMMYFUNCTION("""COMPUTED_VALUE"""),30)</f>
        <v>30</v>
      </c>
      <c r="C270" s="26">
        <f>IFERROR(__xludf.DUMMYFUNCTION("""COMPUTED_VALUE"""),3106.82)</f>
        <v>3106.82</v>
      </c>
      <c r="D270" s="27">
        <f>IFERROR(__xludf.DUMMYFUNCTION("""COMPUTED_VALUE"""),44385)</f>
        <v>44385</v>
      </c>
      <c r="H270" s="29"/>
      <c r="I270" s="12"/>
      <c r="J270" s="34"/>
      <c r="N270" s="12"/>
      <c r="O270" s="12"/>
    </row>
    <row r="271" ht="12.75" spans="1:15">
      <c r="A271" s="12" t="str">
        <f>IFERROR(__xludf.DUMMYFUNCTION("""COMPUTED_VALUE"""),"LVBI11")</f>
        <v>LVBI11</v>
      </c>
      <c r="B271" s="12">
        <f>IFERROR(__xludf.DUMMYFUNCTION("""COMPUTED_VALUE"""),35)</f>
        <v>35</v>
      </c>
      <c r="C271" s="26">
        <f>IFERROR(__xludf.DUMMYFUNCTION("""COMPUTED_VALUE"""),3816.14)</f>
        <v>3816.14</v>
      </c>
      <c r="D271" s="27">
        <f>IFERROR(__xludf.DUMMYFUNCTION("""COMPUTED_VALUE"""),44369)</f>
        <v>44369</v>
      </c>
      <c r="H271" s="29"/>
      <c r="I271" s="12"/>
      <c r="J271" s="34"/>
      <c r="N271" s="12"/>
      <c r="O271" s="12"/>
    </row>
    <row r="272" ht="12.75" spans="1:15">
      <c r="A272" s="12" t="str">
        <f>IFERROR(__xludf.DUMMYFUNCTION("""COMPUTED_VALUE"""),"HCTR11")</f>
        <v>HCTR11</v>
      </c>
      <c r="B272" s="12">
        <f>IFERROR(__xludf.DUMMYFUNCTION("""COMPUTED_VALUE"""),128)</f>
        <v>128</v>
      </c>
      <c r="C272" s="26">
        <f>IFERROR(__xludf.DUMMYFUNCTION("""COMPUTED_VALUE"""),15144.96)</f>
        <v>15144.96</v>
      </c>
      <c r="D272" s="27">
        <f>IFERROR(__xludf.DUMMYFUNCTION("""COMPUTED_VALUE"""),44336)</f>
        <v>44336</v>
      </c>
      <c r="H272" s="29"/>
      <c r="I272" s="12"/>
      <c r="J272" s="34"/>
      <c r="N272" s="12"/>
      <c r="O272" s="12"/>
    </row>
    <row r="273" ht="12.75" spans="1:15">
      <c r="A273" s="12" t="str">
        <f>IFERROR(__xludf.DUMMYFUNCTION("""COMPUTED_VALUE"""),"IRDM11")</f>
        <v>IRDM11</v>
      </c>
      <c r="B273" s="12">
        <f>IFERROR(__xludf.DUMMYFUNCTION("""COMPUTED_VALUE"""),-50)</f>
        <v>-50</v>
      </c>
      <c r="C273" s="26">
        <f>IFERROR(__xludf.DUMMYFUNCTION("""COMPUTED_VALUE"""),-6698.97)</f>
        <v>-6698.97</v>
      </c>
      <c r="D273" s="27">
        <f>IFERROR(__xludf.DUMMYFUNCTION("""COMPUTED_VALUE"""),44331)</f>
        <v>44331</v>
      </c>
      <c r="H273" s="29"/>
      <c r="I273" s="12"/>
      <c r="J273" s="34"/>
      <c r="N273" s="12"/>
      <c r="O273" s="12"/>
    </row>
    <row r="274" ht="12.75" spans="1:15">
      <c r="A274" s="12" t="str">
        <f>IFERROR(__xludf.DUMMYFUNCTION("""COMPUTED_VALUE"""),"HCTR11")</f>
        <v>HCTR11</v>
      </c>
      <c r="B274" s="12">
        <f>IFERROR(__xludf.DUMMYFUNCTION("""COMPUTED_VALUE"""),-30)</f>
        <v>-30</v>
      </c>
      <c r="C274" s="26">
        <f>IFERROR(__xludf.DUMMYFUNCTION("""COMPUTED_VALUE"""),-4068.29)</f>
        <v>-4068.29</v>
      </c>
      <c r="D274" s="27">
        <f>IFERROR(__xludf.DUMMYFUNCTION("""COMPUTED_VALUE"""),44331)</f>
        <v>44331</v>
      </c>
      <c r="H274" s="29"/>
      <c r="I274" s="12"/>
      <c r="J274" s="34"/>
      <c r="N274" s="12"/>
      <c r="O274" s="12"/>
    </row>
    <row r="275" ht="12.75" spans="1:15">
      <c r="A275" s="12" t="str">
        <f>IFERROR(__xludf.DUMMYFUNCTION("""COMPUTED_VALUE"""),"LVBI11")</f>
        <v>LVBI11</v>
      </c>
      <c r="B275" s="12">
        <f>IFERROR(__xludf.DUMMYFUNCTION("""COMPUTED_VALUE"""),13)</f>
        <v>13</v>
      </c>
      <c r="C275" s="26">
        <f>IFERROR(__xludf.DUMMYFUNCTION("""COMPUTED_VALUE"""),1392.69999999999)</f>
        <v>1392.69999999999</v>
      </c>
      <c r="D275" s="27">
        <f>IFERROR(__xludf.DUMMYFUNCTION("""COMPUTED_VALUE"""),44308)</f>
        <v>44308</v>
      </c>
      <c r="H275" s="29"/>
      <c r="I275" s="12"/>
      <c r="J275" s="34"/>
      <c r="N275" s="12"/>
      <c r="O275" s="12"/>
    </row>
    <row r="276" ht="12.75" spans="1:15">
      <c r="A276" s="12" t="str">
        <f>IFERROR(__xludf.DUMMYFUNCTION("""COMPUTED_VALUE"""),"IRDM11")</f>
        <v>IRDM11</v>
      </c>
      <c r="B276" s="12">
        <f>IFERROR(__xludf.DUMMYFUNCTION("""COMPUTED_VALUE"""),108)</f>
        <v>108</v>
      </c>
      <c r="C276" s="26">
        <f>IFERROR(__xludf.DUMMYFUNCTION("""COMPUTED_VALUE"""),11090.52)</f>
        <v>11090.52</v>
      </c>
      <c r="D276" s="27">
        <f>IFERROR(__xludf.DUMMYFUNCTION("""COMPUTED_VALUE"""),44295)</f>
        <v>44295</v>
      </c>
      <c r="H276" s="29"/>
      <c r="I276" s="12"/>
      <c r="J276" s="34"/>
      <c r="N276" s="12"/>
      <c r="O276" s="12"/>
    </row>
    <row r="277" ht="12.75" spans="1:15">
      <c r="A277" s="12" t="str">
        <f>IFERROR(__xludf.DUMMYFUNCTION("""COMPUTED_VALUE"""),"IRDM11")</f>
        <v>IRDM11</v>
      </c>
      <c r="B277" s="12">
        <f>IFERROR(__xludf.DUMMYFUNCTION("""COMPUTED_VALUE"""),221)</f>
        <v>221</v>
      </c>
      <c r="C277" s="26">
        <f>IFERROR(__xludf.DUMMYFUNCTION("""COMPUTED_VALUE"""),22694.4899999999)</f>
        <v>22694.4899999999</v>
      </c>
      <c r="D277" s="27">
        <f>IFERROR(__xludf.DUMMYFUNCTION("""COMPUTED_VALUE"""),44279)</f>
        <v>44279</v>
      </c>
      <c r="H277" s="29"/>
      <c r="I277" s="12"/>
      <c r="J277" s="34"/>
      <c r="N277" s="12"/>
      <c r="O277" s="12"/>
    </row>
    <row r="278" ht="12.75" spans="1:15">
      <c r="A278" s="12" t="str">
        <f>IFERROR(__xludf.DUMMYFUNCTION("""COMPUTED_VALUE"""),"MFII11")</f>
        <v>MFII11</v>
      </c>
      <c r="B278" s="12">
        <f>IFERROR(__xludf.DUMMYFUNCTION("""COMPUTED_VALUE"""),30)</f>
        <v>30</v>
      </c>
      <c r="C278" s="26">
        <f>IFERROR(__xludf.DUMMYFUNCTION("""COMPUTED_VALUE"""),3540)</f>
        <v>3540</v>
      </c>
      <c r="D278" s="27">
        <f>IFERROR(__xludf.DUMMYFUNCTION("""COMPUTED_VALUE"""),44274)</f>
        <v>44274</v>
      </c>
      <c r="H278" s="29"/>
      <c r="I278" s="12"/>
      <c r="J278" s="34"/>
      <c r="N278" s="12"/>
      <c r="O278" s="12"/>
    </row>
    <row r="279" ht="12.75" spans="1:15">
      <c r="A279" s="12" t="str">
        <f>IFERROR(__xludf.DUMMYFUNCTION("""COMPUTED_VALUE"""),"IRDM11")</f>
        <v>IRDM11</v>
      </c>
      <c r="B279" s="12">
        <f>IFERROR(__xludf.DUMMYFUNCTION("""COMPUTED_VALUE"""),-200)</f>
        <v>-200</v>
      </c>
      <c r="C279" s="26">
        <f>IFERROR(__xludf.DUMMYFUNCTION("""COMPUTED_VALUE"""),-26210.8299999999)</f>
        <v>-26210.8299999999</v>
      </c>
      <c r="D279" s="27">
        <f>IFERROR(__xludf.DUMMYFUNCTION("""COMPUTED_VALUE"""),44267)</f>
        <v>44267</v>
      </c>
      <c r="H279" s="29"/>
      <c r="I279" s="12"/>
      <c r="J279" s="34"/>
      <c r="N279" s="12"/>
      <c r="O279" s="12"/>
    </row>
    <row r="280" ht="12.75" spans="1:15">
      <c r="A280" s="12" t="str">
        <f>IFERROR(__xludf.DUMMYFUNCTION("""COMPUTED_VALUE"""),"MFII11")</f>
        <v>MFII11</v>
      </c>
      <c r="B280" s="12">
        <f>IFERROR(__xludf.DUMMYFUNCTION("""COMPUTED_VALUE"""),110)</f>
        <v>110</v>
      </c>
      <c r="C280" s="26">
        <f>IFERROR(__xludf.DUMMYFUNCTION("""COMPUTED_VALUE"""),13205.06)</f>
        <v>13205.06</v>
      </c>
      <c r="D280" s="27">
        <f>IFERROR(__xludf.DUMMYFUNCTION("""COMPUTED_VALUE"""),44265)</f>
        <v>44265</v>
      </c>
      <c r="H280" s="29"/>
      <c r="I280" s="12"/>
      <c r="J280" s="34"/>
      <c r="N280" s="12"/>
      <c r="O280" s="12"/>
    </row>
    <row r="281" ht="12.75" spans="1:15">
      <c r="A281" s="12" t="str">
        <f>IFERROR(__xludf.DUMMYFUNCTION("""COMPUTED_VALUE"""),"IRDM11")</f>
        <v>IRDM11</v>
      </c>
      <c r="B281" s="12">
        <f>IFERROR(__xludf.DUMMYFUNCTION("""COMPUTED_VALUE"""),-100)</f>
        <v>-100</v>
      </c>
      <c r="C281" s="26">
        <f>IFERROR(__xludf.DUMMYFUNCTION("""COMPUTED_VALUE"""),-13496.2899999999)</f>
        <v>-13496.2899999999</v>
      </c>
      <c r="D281" s="27">
        <f>IFERROR(__xludf.DUMMYFUNCTION("""COMPUTED_VALUE"""),44265)</f>
        <v>44265</v>
      </c>
      <c r="H281" s="29"/>
      <c r="I281" s="12"/>
      <c r="J281" s="34"/>
      <c r="N281" s="12"/>
      <c r="O281" s="12"/>
    </row>
    <row r="282" ht="12.75" spans="1:15">
      <c r="A282" s="12" t="str">
        <f>IFERROR(__xludf.DUMMYFUNCTION("""COMPUTED_VALUE"""),"HCTR11")</f>
        <v>HCTR11</v>
      </c>
      <c r="B282" s="12">
        <f>IFERROR(__xludf.DUMMYFUNCTION("""COMPUTED_VALUE"""),63)</f>
        <v>63</v>
      </c>
      <c r="C282" s="26">
        <f>IFERROR(__xludf.DUMMYFUNCTION("""COMPUTED_VALUE"""),7614.18)</f>
        <v>7614.18</v>
      </c>
      <c r="D282" s="27">
        <f>IFERROR(__xludf.DUMMYFUNCTION("""COMPUTED_VALUE"""),44265)</f>
        <v>44265</v>
      </c>
      <c r="H282" s="29"/>
      <c r="I282" s="12"/>
      <c r="J282" s="34"/>
      <c r="N282" s="12"/>
      <c r="O282" s="12"/>
    </row>
    <row r="283" ht="12.75" spans="1:15">
      <c r="A283" s="12" t="str">
        <f>IFERROR(__xludf.DUMMYFUNCTION("""COMPUTED_VALUE"""),"HCTR11")</f>
        <v>HCTR11</v>
      </c>
      <c r="B283" s="12">
        <f>IFERROR(__xludf.DUMMYFUNCTION("""COMPUTED_VALUE"""),78)</f>
        <v>78</v>
      </c>
      <c r="C283" s="26">
        <f>IFERROR(__xludf.DUMMYFUNCTION("""COMPUTED_VALUE"""),9427.08)</f>
        <v>9427.08</v>
      </c>
      <c r="D283" s="27">
        <f>IFERROR(__xludf.DUMMYFUNCTION("""COMPUTED_VALUE"""),44251)</f>
        <v>44251</v>
      </c>
      <c r="H283" s="76"/>
      <c r="I283" s="12"/>
      <c r="J283" s="34"/>
      <c r="N283" s="12"/>
      <c r="O283" s="12"/>
    </row>
    <row r="284" ht="12.75" spans="1:15">
      <c r="A284" s="12" t="str">
        <f>IFERROR(__xludf.DUMMYFUNCTION("""COMPUTED_VALUE"""),"IRDM11")</f>
        <v>IRDM11</v>
      </c>
      <c r="B284" s="12">
        <f>IFERROR(__xludf.DUMMYFUNCTION("""COMPUTED_VALUE"""),-70)</f>
        <v>-70</v>
      </c>
      <c r="C284" s="26">
        <f>IFERROR(__xludf.DUMMYFUNCTION("""COMPUTED_VALUE"""),-10405.362)</f>
        <v>-10405.362</v>
      </c>
      <c r="D284" s="27">
        <f>IFERROR(__xludf.DUMMYFUNCTION("""COMPUTED_VALUE"""),44249)</f>
        <v>44249</v>
      </c>
      <c r="I284" s="12"/>
      <c r="J284" s="34"/>
      <c r="N284" s="12"/>
      <c r="O284" s="12"/>
    </row>
    <row r="285" ht="12.75" spans="1:15">
      <c r="A285" s="12" t="str">
        <f>IFERROR(__xludf.DUMMYFUNCTION("""COMPUTED_VALUE"""),"RECR11")</f>
        <v>RECR11</v>
      </c>
      <c r="B285" s="12">
        <f>IFERROR(__xludf.DUMMYFUNCTION("""COMPUTED_VALUE"""),43)</f>
        <v>43</v>
      </c>
      <c r="C285" s="26">
        <f>IFERROR(__xludf.DUMMYFUNCTION("""COMPUTED_VALUE"""),4214)</f>
        <v>4214</v>
      </c>
      <c r="D285" s="27">
        <f>IFERROR(__xludf.DUMMYFUNCTION("""COMPUTED_VALUE"""),44250)</f>
        <v>44250</v>
      </c>
      <c r="I285" s="12"/>
      <c r="J285" s="34"/>
      <c r="N285" s="12"/>
      <c r="O285" s="12"/>
    </row>
    <row r="286" ht="12.75" spans="1:15">
      <c r="A286" s="12" t="str">
        <f>IFERROR(__xludf.DUMMYFUNCTION("""COMPUTED_VALUE"""),"NCHB11")</f>
        <v>NCHB11</v>
      </c>
      <c r="B286" s="12">
        <f>IFERROR(__xludf.DUMMYFUNCTION("""COMPUTED_VALUE"""),900)</f>
        <v>900</v>
      </c>
      <c r="C286" s="26">
        <f>IFERROR(__xludf.DUMMYFUNCTION("""COMPUTED_VALUE"""),9887.962)</f>
        <v>9887.962</v>
      </c>
      <c r="D286" s="27">
        <f>IFERROR(__xludf.DUMMYFUNCTION("""COMPUTED_VALUE"""),44249)</f>
        <v>44249</v>
      </c>
      <c r="I286" s="12"/>
      <c r="J286" s="34"/>
      <c r="N286" s="12"/>
      <c r="O286" s="12"/>
    </row>
    <row r="287" ht="12.75" spans="1:15">
      <c r="A287" s="12" t="str">
        <f>IFERROR(__xludf.DUMMYFUNCTION("""COMPUTED_VALUE"""),"CVBI11")</f>
        <v>CVBI11</v>
      </c>
      <c r="B287" s="12">
        <f>IFERROR(__xludf.DUMMYFUNCTION("""COMPUTED_VALUE"""),97)</f>
        <v>97</v>
      </c>
      <c r="C287" s="26">
        <f>IFERROR(__xludf.DUMMYFUNCTION("""COMPUTED_VALUE"""),10058.9)</f>
        <v>10058.9</v>
      </c>
      <c r="D287" s="27">
        <f>IFERROR(__xludf.DUMMYFUNCTION("""COMPUTED_VALUE"""),44245)</f>
        <v>44245</v>
      </c>
      <c r="I287" s="12"/>
      <c r="J287" s="34"/>
      <c r="N287" s="12"/>
      <c r="O287" s="12"/>
    </row>
    <row r="288" ht="12.75" spans="1:15">
      <c r="A288" s="12" t="str">
        <f>IFERROR(__xludf.DUMMYFUNCTION("""COMPUTED_VALUE"""),"RECR11")</f>
        <v>RECR11</v>
      </c>
      <c r="B288" s="12">
        <f>IFERROR(__xludf.DUMMYFUNCTION("""COMPUTED_VALUE"""),113)</f>
        <v>113</v>
      </c>
      <c r="C288" s="26">
        <f>IFERROR(__xludf.DUMMYFUNCTION("""COMPUTED_VALUE"""),11074)</f>
        <v>11074</v>
      </c>
      <c r="D288" s="27">
        <f>IFERROR(__xludf.DUMMYFUNCTION("""COMPUTED_VALUE"""),44231)</f>
        <v>44231</v>
      </c>
      <c r="I288" s="12"/>
      <c r="J288" s="34"/>
      <c r="N288" s="12"/>
      <c r="O288" s="12"/>
    </row>
    <row r="289" ht="12.75" spans="1:15">
      <c r="A289" s="12" t="str">
        <f>IFERROR(__xludf.DUMMYFUNCTION("""COMPUTED_VALUE"""),"HCTR11")</f>
        <v>HCTR11</v>
      </c>
      <c r="B289" s="12">
        <f>IFERROR(__xludf.DUMMYFUNCTION("""COMPUTED_VALUE"""),-100)</f>
        <v>-100</v>
      </c>
      <c r="C289" s="26">
        <f>IFERROR(__xludf.DUMMYFUNCTION("""COMPUTED_VALUE"""),-16075.38)</f>
        <v>-16075.38</v>
      </c>
      <c r="D289" s="27">
        <f>IFERROR(__xludf.DUMMYFUNCTION("""COMPUTED_VALUE"""),44230)</f>
        <v>44230</v>
      </c>
      <c r="I289" s="12"/>
      <c r="J289" s="34"/>
      <c r="N289" s="12"/>
      <c r="O289" s="12"/>
    </row>
    <row r="290" ht="12.75" spans="1:15">
      <c r="A290" s="12" t="str">
        <f>IFERROR(__xludf.DUMMYFUNCTION("""COMPUTED_VALUE"""),"RBRP11")</f>
        <v>RBRP11</v>
      </c>
      <c r="B290" s="12">
        <f>IFERROR(__xludf.DUMMYFUNCTION("""COMPUTED_VALUE"""),-135)</f>
        <v>-135</v>
      </c>
      <c r="C290" s="26">
        <f>IFERROR(__xludf.DUMMYFUNCTION("""COMPUTED_VALUE"""),-13207.587648153)</f>
        <v>-13207.587648153</v>
      </c>
      <c r="D290" s="27">
        <f>IFERROR(__xludf.DUMMYFUNCTION("""COMPUTED_VALUE"""),44228)</f>
        <v>44228</v>
      </c>
      <c r="I290" s="12"/>
      <c r="J290" s="34"/>
      <c r="N290" s="12"/>
      <c r="O290" s="12"/>
    </row>
    <row r="291" ht="12.75" spans="1:15">
      <c r="A291" s="12" t="str">
        <f>IFERROR(__xludf.DUMMYFUNCTION("""COMPUTED_VALUE"""),"MFII11")</f>
        <v>MFII11</v>
      </c>
      <c r="B291" s="12">
        <f>IFERROR(__xludf.DUMMYFUNCTION("""COMPUTED_VALUE"""),19)</f>
        <v>19</v>
      </c>
      <c r="C291" s="26">
        <f>IFERROR(__xludf.DUMMYFUNCTION("""COMPUTED_VALUE"""),2242)</f>
        <v>2242</v>
      </c>
      <c r="D291" s="27">
        <f>IFERROR(__xludf.DUMMYFUNCTION("""COMPUTED_VALUE"""),44211)</f>
        <v>44211</v>
      </c>
      <c r="I291" s="12"/>
      <c r="J291" s="34"/>
      <c r="N291" s="12"/>
      <c r="O291" s="12"/>
    </row>
    <row r="292" ht="12.75" spans="1:15">
      <c r="A292" s="12" t="str">
        <f>IFERROR(__xludf.DUMMYFUNCTION("""COMPUTED_VALUE"""),"TGAR11")</f>
        <v>TGAR11</v>
      </c>
      <c r="B292" s="12">
        <f>IFERROR(__xludf.DUMMYFUNCTION("""COMPUTED_VALUE"""),38)</f>
        <v>38</v>
      </c>
      <c r="C292" s="26">
        <f>IFERROR(__xludf.DUMMYFUNCTION("""COMPUTED_VALUE"""),4864)</f>
        <v>4864</v>
      </c>
      <c r="D292" s="27">
        <f>IFERROR(__xludf.DUMMYFUNCTION("""COMPUTED_VALUE"""),44208)</f>
        <v>44208</v>
      </c>
      <c r="I292" s="12"/>
      <c r="J292" s="34"/>
      <c r="N292" s="12"/>
      <c r="O292" s="12"/>
    </row>
    <row r="293" ht="12.75" spans="1:15">
      <c r="A293" s="12" t="str">
        <f>IFERROR(__xludf.DUMMYFUNCTION("""COMPUTED_VALUE"""),"HCTR11")</f>
        <v>HCTR11</v>
      </c>
      <c r="B293" s="12">
        <f>IFERROR(__xludf.DUMMYFUNCTION("""COMPUTED_VALUE"""),49)</f>
        <v>49</v>
      </c>
      <c r="C293" s="26">
        <f>IFERROR(__xludf.DUMMYFUNCTION("""COMPUTED_VALUE"""),5871.67)</f>
        <v>5871.67</v>
      </c>
      <c r="D293" s="27">
        <f>IFERROR(__xludf.DUMMYFUNCTION("""COMPUTED_VALUE"""),44193)</f>
        <v>44193</v>
      </c>
      <c r="I293" s="12"/>
      <c r="J293" s="34"/>
      <c r="N293" s="12"/>
      <c r="O293" s="12"/>
    </row>
    <row r="294" ht="12.75" spans="1:15">
      <c r="A294" s="12" t="str">
        <f>IFERROR(__xludf.DUMMYFUNCTION("""COMPUTED_VALUE"""),"TGAR11")</f>
        <v>TGAR11</v>
      </c>
      <c r="B294" s="12">
        <f>IFERROR(__xludf.DUMMYFUNCTION("""COMPUTED_VALUE"""),39)</f>
        <v>39</v>
      </c>
      <c r="C294" s="26">
        <f>IFERROR(__xludf.DUMMYFUNCTION("""COMPUTED_VALUE"""),4992)</f>
        <v>4992</v>
      </c>
      <c r="D294" s="27">
        <f>IFERROR(__xludf.DUMMYFUNCTION("""COMPUTED_VALUE"""),44186)</f>
        <v>44186</v>
      </c>
      <c r="I294" s="12"/>
      <c r="J294" s="34"/>
      <c r="N294" s="12"/>
      <c r="O294" s="12"/>
    </row>
    <row r="295" ht="12.75" spans="1:15">
      <c r="A295" s="12" t="str">
        <f>IFERROR(__xludf.DUMMYFUNCTION("""COMPUTED_VALUE"""),"IRDM11")</f>
        <v>IRDM11</v>
      </c>
      <c r="B295" s="12">
        <f>IFERROR(__xludf.DUMMYFUNCTION("""COMPUTED_VALUE"""),52)</f>
        <v>52</v>
      </c>
      <c r="C295" s="26">
        <f>IFERROR(__xludf.DUMMYFUNCTION("""COMPUTED_VALUE"""),5108.48)</f>
        <v>5108.48</v>
      </c>
      <c r="D295" s="27">
        <f>IFERROR(__xludf.DUMMYFUNCTION("""COMPUTED_VALUE"""),44186)</f>
        <v>44186</v>
      </c>
      <c r="I295" s="12"/>
      <c r="J295" s="34"/>
      <c r="N295" s="12"/>
      <c r="O295" s="12"/>
    </row>
    <row r="296" ht="12.75" spans="1:15">
      <c r="A296" s="12" t="str">
        <f>IFERROR(__xludf.DUMMYFUNCTION("""COMPUTED_VALUE"""),"CVBI11")</f>
        <v>CVBI11</v>
      </c>
      <c r="B296" s="12">
        <f>IFERROR(__xludf.DUMMYFUNCTION("""COMPUTED_VALUE"""),50)</f>
        <v>50</v>
      </c>
      <c r="C296" s="26">
        <f>IFERROR(__xludf.DUMMYFUNCTION("""COMPUTED_VALUE"""),5073.11304129)</f>
        <v>5073.11304129</v>
      </c>
      <c r="D296" s="27">
        <f>IFERROR(__xludf.DUMMYFUNCTION("""COMPUTED_VALUE"""),44182)</f>
        <v>44182</v>
      </c>
      <c r="I296" s="12"/>
      <c r="J296" s="34"/>
      <c r="N296" s="12"/>
      <c r="O296" s="12"/>
    </row>
    <row r="297" ht="12.75" spans="1:15">
      <c r="A297" s="12" t="str">
        <f>IFERROR(__xludf.DUMMYFUNCTION("""COMPUTED_VALUE"""),"MCCI11")</f>
        <v>MCCI11</v>
      </c>
      <c r="B297" s="12">
        <f>IFERROR(__xludf.DUMMYFUNCTION("""COMPUTED_VALUE"""),-50)</f>
        <v>-50</v>
      </c>
      <c r="C297" s="26">
        <f>IFERROR(__xludf.DUMMYFUNCTION("""COMPUTED_VALUE"""),-5014.72096415)</f>
        <v>-5014.72096415</v>
      </c>
      <c r="D297" s="27">
        <f>IFERROR(__xludf.DUMMYFUNCTION("""COMPUTED_VALUE"""),44182)</f>
        <v>44182</v>
      </c>
      <c r="I297" s="12"/>
      <c r="J297" s="34"/>
      <c r="N297" s="12"/>
      <c r="O297" s="12"/>
    </row>
    <row r="298" ht="12.75" spans="1:15">
      <c r="A298" s="12" t="str">
        <f>IFERROR(__xludf.DUMMYFUNCTION("""COMPUTED_VALUE"""),"MCCI11")</f>
        <v>MCCI11</v>
      </c>
      <c r="B298" s="12">
        <f>IFERROR(__xludf.DUMMYFUNCTION("""COMPUTED_VALUE"""),-50)</f>
        <v>-50</v>
      </c>
      <c r="C298" s="26">
        <f>IFERROR(__xludf.DUMMYFUNCTION("""COMPUTED_VALUE"""),-5010.72206375)</f>
        <v>-5010.72206375</v>
      </c>
      <c r="D298" s="27">
        <f>IFERROR(__xludf.DUMMYFUNCTION("""COMPUTED_VALUE"""),44182)</f>
        <v>44182</v>
      </c>
      <c r="I298" s="12"/>
      <c r="J298" s="34"/>
      <c r="N298" s="12"/>
      <c r="O298" s="12"/>
    </row>
    <row r="299" ht="12.75" spans="1:15">
      <c r="A299" s="12" t="str">
        <f>IFERROR(__xludf.DUMMYFUNCTION("""COMPUTED_VALUE"""),"CVBI11")</f>
        <v>CVBI11</v>
      </c>
      <c r="B299" s="12">
        <f>IFERROR(__xludf.DUMMYFUNCTION("""COMPUTED_VALUE"""),30)</f>
        <v>30</v>
      </c>
      <c r="C299" s="26">
        <f>IFERROR(__xludf.DUMMYFUNCTION("""COMPUTED_VALUE"""),3044.805)</f>
        <v>3044.805</v>
      </c>
      <c r="D299" s="27">
        <f>IFERROR(__xludf.DUMMYFUNCTION("""COMPUTED_VALUE"""),44182)</f>
        <v>44182</v>
      </c>
      <c r="I299" s="12"/>
      <c r="J299" s="34"/>
      <c r="N299" s="12"/>
      <c r="O299" s="12"/>
    </row>
    <row r="300" ht="12.75" spans="1:15">
      <c r="A300" s="12" t="str">
        <f>IFERROR(__xludf.DUMMYFUNCTION("""COMPUTED_VALUE"""),"CVBI11")</f>
        <v>CVBI11</v>
      </c>
      <c r="B300" s="12">
        <f>IFERROR(__xludf.DUMMYFUNCTION("""COMPUTED_VALUE"""),90)</f>
        <v>90</v>
      </c>
      <c r="C300" s="26">
        <f>IFERROR(__xludf.DUMMYFUNCTION("""COMPUTED_VALUE"""),9138.94999999999)</f>
        <v>9138.94999999999</v>
      </c>
      <c r="D300" s="27">
        <f>IFERROR(__xludf.DUMMYFUNCTION("""COMPUTED_VALUE"""),44182)</f>
        <v>44182</v>
      </c>
      <c r="I300" s="12"/>
      <c r="J300" s="34"/>
      <c r="N300" s="12"/>
      <c r="O300" s="12"/>
    </row>
    <row r="301" ht="12.75" spans="1:15">
      <c r="A301" s="12" t="str">
        <f>IFERROR(__xludf.DUMMYFUNCTION("""COMPUTED_VALUE"""),"MFII11")</f>
        <v>MFII11</v>
      </c>
      <c r="B301" s="12">
        <f>IFERROR(__xludf.DUMMYFUNCTION("""COMPUTED_VALUE"""),8)</f>
        <v>8</v>
      </c>
      <c r="C301" s="26">
        <f>IFERROR(__xludf.DUMMYFUNCTION("""COMPUTED_VALUE"""),944)</f>
        <v>944</v>
      </c>
      <c r="D301" s="27">
        <f>IFERROR(__xludf.DUMMYFUNCTION("""COMPUTED_VALUE"""),44182)</f>
        <v>44182</v>
      </c>
      <c r="I301" s="12"/>
      <c r="J301" s="34"/>
      <c r="N301" s="12"/>
      <c r="O301" s="12"/>
    </row>
    <row r="302" ht="12.75" spans="1:15">
      <c r="A302" s="12" t="str">
        <f>IFERROR(__xludf.DUMMYFUNCTION("""COMPUTED_VALUE"""),"HGLG11")</f>
        <v>HGLG11</v>
      </c>
      <c r="B302" s="12">
        <f>IFERROR(__xludf.DUMMYFUNCTION("""COMPUTED_VALUE"""),20)</f>
        <v>20</v>
      </c>
      <c r="C302" s="26">
        <f>IFERROR(__xludf.DUMMYFUNCTION("""COMPUTED_VALUE"""),3358.02283929999)</f>
        <v>3358.02283929999</v>
      </c>
      <c r="D302" s="27">
        <f>IFERROR(__xludf.DUMMYFUNCTION("""COMPUTED_VALUE"""),44179)</f>
        <v>44179</v>
      </c>
      <c r="I302" s="12"/>
      <c r="J302" s="34"/>
      <c r="N302" s="12"/>
      <c r="O302" s="12"/>
    </row>
    <row r="303" ht="12.75" spans="1:15">
      <c r="A303" s="12" t="str">
        <f>IFERROR(__xludf.DUMMYFUNCTION("""COMPUTED_VALUE"""),"VTLT11")</f>
        <v>VTLT11</v>
      </c>
      <c r="B303" s="12">
        <f>IFERROR(__xludf.DUMMYFUNCTION("""COMPUTED_VALUE"""),-37)</f>
        <v>-37</v>
      </c>
      <c r="C303" s="26">
        <f>IFERROR(__xludf.DUMMYFUNCTION("""COMPUTED_VALUE"""),-4148.789085279)</f>
        <v>-4148.789085279</v>
      </c>
      <c r="D303" s="27">
        <f>IFERROR(__xludf.DUMMYFUNCTION("""COMPUTED_VALUE"""),44175)</f>
        <v>44175</v>
      </c>
      <c r="I303" s="12"/>
      <c r="J303" s="34"/>
      <c r="N303" s="12"/>
      <c r="O303" s="12"/>
    </row>
    <row r="304" ht="12.75" spans="1:15">
      <c r="A304" s="12" t="str">
        <f>IFERROR(__xludf.DUMMYFUNCTION("""COMPUTED_VALUE"""),"VTLT11")</f>
        <v>VTLT11</v>
      </c>
      <c r="B304" s="12">
        <f>IFERROR(__xludf.DUMMYFUNCTION("""COMPUTED_VALUE"""),-5)</f>
        <v>-5</v>
      </c>
      <c r="C304" s="26">
        <f>IFERROR(__xludf.DUMMYFUNCTION("""COMPUTED_VALUE"""),-566.57553907)</f>
        <v>-566.57553907</v>
      </c>
      <c r="D304" s="27">
        <f>IFERROR(__xludf.DUMMYFUNCTION("""COMPUTED_VALUE"""),44175)</f>
        <v>44175</v>
      </c>
      <c r="I304" s="12"/>
      <c r="J304" s="34"/>
      <c r="N304" s="12"/>
      <c r="O304" s="12"/>
    </row>
    <row r="305" ht="12.75" spans="1:15">
      <c r="A305" s="12" t="str">
        <f>IFERROR(__xludf.DUMMYFUNCTION("""COMPUTED_VALUE"""),"HBRH11")</f>
        <v>HBRH11</v>
      </c>
      <c r="B305" s="12">
        <f>IFERROR(__xludf.DUMMYFUNCTION("""COMPUTED_VALUE"""),-19)</f>
        <v>-19</v>
      </c>
      <c r="C305" s="26">
        <f>IFERROR(__xludf.DUMMYFUNCTION("""COMPUTED_VALUE"""),-1888.890562705)</f>
        <v>-1888.890562705</v>
      </c>
      <c r="D305" s="27">
        <f>IFERROR(__xludf.DUMMYFUNCTION("""COMPUTED_VALUE"""),44175)</f>
        <v>44175</v>
      </c>
      <c r="I305" s="12"/>
      <c r="J305" s="34"/>
      <c r="N305" s="12"/>
      <c r="O305" s="12"/>
    </row>
    <row r="306" ht="12.75" spans="1:15">
      <c r="A306" s="12" t="str">
        <f>IFERROR(__xludf.DUMMYFUNCTION("""COMPUTED_VALUE"""),"HCTR11")</f>
        <v>HCTR11</v>
      </c>
      <c r="B306" s="12">
        <f>IFERROR(__xludf.DUMMYFUNCTION("""COMPUTED_VALUE"""),105)</f>
        <v>105</v>
      </c>
      <c r="C306" s="26">
        <f>IFERROR(__xludf.DUMMYFUNCTION("""COMPUTED_VALUE"""),12582.15)</f>
        <v>12582.15</v>
      </c>
      <c r="D306" s="27">
        <f>IFERROR(__xludf.DUMMYFUNCTION("""COMPUTED_VALUE"""),44175)</f>
        <v>44175</v>
      </c>
      <c r="I306" s="12"/>
      <c r="J306" s="34"/>
      <c r="N306" s="12"/>
      <c r="O306" s="12"/>
    </row>
    <row r="307" ht="12.75" spans="1:15">
      <c r="A307" s="12" t="str">
        <f>IFERROR(__xludf.DUMMYFUNCTION("""COMPUTED_VALUE"""),"VTLT11")</f>
        <v>VTLT11</v>
      </c>
      <c r="B307" s="12">
        <f>IFERROR(__xludf.DUMMYFUNCTION("""COMPUTED_VALUE"""),-28)</f>
        <v>-28</v>
      </c>
      <c r="C307" s="26">
        <f>IFERROR(__xludf.DUMMYFUNCTION("""COMPUTED_VALUE"""),-3170.8311645696)</f>
        <v>-3170.8311645696</v>
      </c>
      <c r="D307" s="27">
        <f>IFERROR(__xludf.DUMMYFUNCTION("""COMPUTED_VALUE"""),44173)</f>
        <v>44173</v>
      </c>
      <c r="I307" s="12"/>
      <c r="J307" s="34"/>
      <c r="N307" s="12"/>
      <c r="O307" s="12"/>
    </row>
    <row r="308" ht="12.75" spans="1:15">
      <c r="A308" s="12" t="str">
        <f>IFERROR(__xludf.DUMMYFUNCTION("""COMPUTED_VALUE"""),"VTLT11")</f>
        <v>VTLT11</v>
      </c>
      <c r="B308" s="12">
        <f>IFERROR(__xludf.DUMMYFUNCTION("""COMPUTED_VALUE"""),-100)</f>
        <v>-100</v>
      </c>
      <c r="C308" s="26">
        <f>IFERROR(__xludf.DUMMYFUNCTION("""COMPUTED_VALUE"""),-11315.778132)</f>
        <v>-11315.778132</v>
      </c>
      <c r="D308" s="27">
        <f>IFERROR(__xludf.DUMMYFUNCTION("""COMPUTED_VALUE"""),44173)</f>
        <v>44173</v>
      </c>
      <c r="I308" s="12"/>
      <c r="J308" s="34"/>
      <c r="N308" s="12"/>
      <c r="O308" s="12"/>
    </row>
    <row r="309" ht="12.75" spans="1:15">
      <c r="A309" s="12" t="str">
        <f>IFERROR(__xludf.DUMMYFUNCTION("""COMPUTED_VALUE"""),"VTLT11")</f>
        <v>VTLT11</v>
      </c>
      <c r="B309" s="12">
        <f>IFERROR(__xludf.DUMMYFUNCTION("""COMPUTED_VALUE"""),-20)</f>
        <v>-20</v>
      </c>
      <c r="C309" s="26">
        <f>IFERROR(__xludf.DUMMYFUNCTION("""COMPUTED_VALUE"""),-2246.3022997)</f>
        <v>-2246.3022997</v>
      </c>
      <c r="D309" s="27">
        <f>IFERROR(__xludf.DUMMYFUNCTION("""COMPUTED_VALUE"""),44174)</f>
        <v>44174</v>
      </c>
      <c r="I309" s="12"/>
      <c r="J309" s="34"/>
      <c r="N309" s="12"/>
      <c r="O309" s="12"/>
    </row>
    <row r="310" ht="12.75" spans="1:15">
      <c r="A310" s="12" t="str">
        <f>IFERROR(__xludf.DUMMYFUNCTION("""COMPUTED_VALUE"""),"VTLT11")</f>
        <v>VTLT11</v>
      </c>
      <c r="B310" s="12">
        <f>IFERROR(__xludf.DUMMYFUNCTION("""COMPUTED_VALUE"""),-30)</f>
        <v>-30</v>
      </c>
      <c r="C310" s="26">
        <f>IFERROR(__xludf.DUMMYFUNCTION("""COMPUTED_VALUE"""),-3363.80999999999)</f>
        <v>-3363.80999999999</v>
      </c>
      <c r="D310" s="27">
        <f>IFERROR(__xludf.DUMMYFUNCTION("""COMPUTED_VALUE"""),44174)</f>
        <v>44174</v>
      </c>
      <c r="I310" s="12"/>
      <c r="J310" s="34"/>
      <c r="N310" s="12"/>
      <c r="O310" s="12"/>
    </row>
    <row r="311" ht="12.75" spans="1:15">
      <c r="A311" s="12" t="str">
        <f>IFERROR(__xludf.DUMMYFUNCTION("""COMPUTED_VALUE"""),"HBRH11")</f>
        <v>HBRH11</v>
      </c>
      <c r="B311" s="12">
        <f>IFERROR(__xludf.DUMMYFUNCTION("""COMPUTED_VALUE"""),-56)</f>
        <v>-56</v>
      </c>
      <c r="C311" s="26">
        <f>IFERROR(__xludf.DUMMYFUNCTION("""COMPUTED_VALUE"""),-5591.302407328)</f>
        <v>-5591.302407328</v>
      </c>
      <c r="D311" s="27">
        <f>IFERROR(__xludf.DUMMYFUNCTION("""COMPUTED_VALUE"""),44174)</f>
        <v>44174</v>
      </c>
      <c r="I311" s="12"/>
      <c r="J311" s="34"/>
      <c r="N311" s="12"/>
      <c r="O311" s="12"/>
    </row>
    <row r="312" ht="12.75" spans="1:15">
      <c r="A312" s="12" t="str">
        <f>IFERROR(__xludf.DUMMYFUNCTION("""COMPUTED_VALUE"""),"IRDM11")</f>
        <v>IRDM11</v>
      </c>
      <c r="B312" s="12">
        <f>IFERROR(__xludf.DUMMYFUNCTION("""COMPUTED_VALUE"""),204)</f>
        <v>204</v>
      </c>
      <c r="C312" s="26">
        <f>IFERROR(__xludf.DUMMYFUNCTION("""COMPUTED_VALUE"""),20040.96)</f>
        <v>20040.96</v>
      </c>
      <c r="D312" s="27">
        <f>IFERROR(__xludf.DUMMYFUNCTION("""COMPUTED_VALUE"""),44139)</f>
        <v>44139</v>
      </c>
      <c r="I312" s="12"/>
      <c r="J312" s="34"/>
      <c r="N312" s="12"/>
      <c r="O312" s="12"/>
    </row>
    <row r="313" ht="12.75" spans="1:15">
      <c r="A313" s="12" t="str">
        <f>IFERROR(__xludf.DUMMYFUNCTION("""COMPUTED_VALUE"""),"MCCI11")</f>
        <v>MCCI11</v>
      </c>
      <c r="B313" s="12">
        <f>IFERROR(__xludf.DUMMYFUNCTION("""COMPUTED_VALUE"""),220)</f>
        <v>220</v>
      </c>
      <c r="C313" s="26">
        <f>IFERROR(__xludf.DUMMYFUNCTION("""COMPUTED_VALUE"""),22145.39)</f>
        <v>22145.39</v>
      </c>
      <c r="D313" s="27">
        <f>IFERROR(__xludf.DUMMYFUNCTION("""COMPUTED_VALUE"""),44141)</f>
        <v>44141</v>
      </c>
      <c r="I313" s="12"/>
      <c r="J313" s="34"/>
      <c r="N313" s="12"/>
      <c r="O313" s="12"/>
    </row>
    <row r="314" ht="12.75" spans="1:15">
      <c r="A314" s="12" t="str">
        <f>IFERROR(__xludf.DUMMYFUNCTION("""COMPUTED_VALUE"""),"RBVA11")</f>
        <v>RBVA11</v>
      </c>
      <c r="B314" s="12">
        <f>IFERROR(__xludf.DUMMYFUNCTION("""COMPUTED_VALUE"""),-189)</f>
        <v>-189</v>
      </c>
      <c r="C314" s="26">
        <f>IFERROR(__xludf.DUMMYFUNCTION("""COMPUTED_VALUE"""),-22498.083067612)</f>
        <v>-22498.083067612</v>
      </c>
      <c r="D314" s="27">
        <f>IFERROR(__xludf.DUMMYFUNCTION("""COMPUTED_VALUE"""),44141)</f>
        <v>44141</v>
      </c>
      <c r="I314" s="12"/>
      <c r="J314" s="34"/>
      <c r="N314" s="12"/>
      <c r="O314" s="12"/>
    </row>
    <row r="315" ht="12.75" spans="1:15">
      <c r="A315" s="12" t="str">
        <f>IFERROR(__xludf.DUMMYFUNCTION("""COMPUTED_VALUE"""),"RBVA11")</f>
        <v>RBVA11</v>
      </c>
      <c r="B315" s="12">
        <f>IFERROR(__xludf.DUMMYFUNCTION("""COMPUTED_VALUE"""),-45)</f>
        <v>-45</v>
      </c>
      <c r="C315" s="26">
        <f>IFERROR(__xludf.DUMMYFUNCTION("""COMPUTED_VALUE"""),-5376.04160154499)</f>
        <v>-5376.04160154499</v>
      </c>
      <c r="D315" s="27">
        <f>IFERROR(__xludf.DUMMYFUNCTION("""COMPUTED_VALUE"""),44140)</f>
        <v>44140</v>
      </c>
      <c r="I315" s="12"/>
      <c r="J315" s="34"/>
      <c r="N315" s="12"/>
      <c r="O315" s="12"/>
    </row>
    <row r="316" ht="12.75" spans="1:15">
      <c r="A316" s="12" t="str">
        <f>IFERROR(__xludf.DUMMYFUNCTION("""COMPUTED_VALUE"""),"RBED11")</f>
        <v>RBED11</v>
      </c>
      <c r="B316" s="12">
        <f>IFERROR(__xludf.DUMMYFUNCTION("""COMPUTED_VALUE"""),50)</f>
        <v>50</v>
      </c>
      <c r="C316" s="26">
        <f>IFERROR(__xludf.DUMMYFUNCTION("""COMPUTED_VALUE"""),7952.44)</f>
        <v>7952.44</v>
      </c>
      <c r="D316" s="27">
        <f>IFERROR(__xludf.DUMMYFUNCTION("""COMPUTED_VALUE"""),44140)</f>
        <v>44140</v>
      </c>
      <c r="I316" s="12"/>
      <c r="J316" s="34"/>
      <c r="N316" s="12"/>
      <c r="O316" s="12"/>
    </row>
    <row r="317" ht="12.75" spans="1:15">
      <c r="A317" s="12" t="str">
        <f>IFERROR(__xludf.DUMMYFUNCTION("""COMPUTED_VALUE"""),"RECR11")</f>
        <v>RECR11</v>
      </c>
      <c r="B317" s="12">
        <f>IFERROR(__xludf.DUMMYFUNCTION("""COMPUTED_VALUE"""),42)</f>
        <v>42</v>
      </c>
      <c r="C317" s="26">
        <f>IFERROR(__xludf.DUMMYFUNCTION("""COMPUTED_VALUE"""),3780)</f>
        <v>3780</v>
      </c>
      <c r="D317" s="27">
        <f>IFERROR(__xludf.DUMMYFUNCTION("""COMPUTED_VALUE"""),44139)</f>
        <v>44139</v>
      </c>
      <c r="I317" s="12"/>
      <c r="J317" s="34"/>
      <c r="N317" s="12"/>
      <c r="O317" s="12"/>
    </row>
    <row r="318" ht="12.75" spans="1:15">
      <c r="A318" s="12" t="str">
        <f>IFERROR(__xludf.DUMMYFUNCTION("""COMPUTED_VALUE"""),"RBRP11")</f>
        <v>RBRP11</v>
      </c>
      <c r="B318" s="12">
        <f>IFERROR(__xludf.DUMMYFUNCTION("""COMPUTED_VALUE"""),30)</f>
        <v>30</v>
      </c>
      <c r="C318" s="26">
        <f>IFERROR(__xludf.DUMMYFUNCTION("""COMPUTED_VALUE"""),2775.8428475)</f>
        <v>2775.8428475</v>
      </c>
      <c r="D318" s="27">
        <f>IFERROR(__xludf.DUMMYFUNCTION("""COMPUTED_VALUE"""),44134)</f>
        <v>44134</v>
      </c>
      <c r="I318" s="12"/>
      <c r="J318" s="34"/>
      <c r="N318" s="12"/>
      <c r="O318" s="12"/>
    </row>
    <row r="319" ht="12.75" spans="1:15">
      <c r="A319" s="12" t="str">
        <f>IFERROR(__xludf.DUMMYFUNCTION("""COMPUTED_VALUE"""),"RECR11")</f>
        <v>RECR11</v>
      </c>
      <c r="B319" s="12">
        <f>IFERROR(__xludf.DUMMYFUNCTION("""COMPUTED_VALUE"""),55)</f>
        <v>55</v>
      </c>
      <c r="C319" s="26">
        <f>IFERROR(__xludf.DUMMYFUNCTION("""COMPUTED_VALUE"""),4950)</f>
        <v>4950</v>
      </c>
      <c r="D319" s="27">
        <f>IFERROR(__xludf.DUMMYFUNCTION("""COMPUTED_VALUE"""),44124)</f>
        <v>44124</v>
      </c>
      <c r="I319" s="12"/>
      <c r="J319" s="34"/>
      <c r="N319" s="12"/>
      <c r="O319" s="12"/>
    </row>
    <row r="320" ht="12.75" spans="1:15">
      <c r="A320" s="12" t="str">
        <f>IFERROR(__xludf.DUMMYFUNCTION("""COMPUTED_VALUE"""),"HCTR11")</f>
        <v>HCTR11</v>
      </c>
      <c r="B320" s="12">
        <f>IFERROR(__xludf.DUMMYFUNCTION("""COMPUTED_VALUE"""),27)</f>
        <v>27</v>
      </c>
      <c r="C320" s="26">
        <f>IFERROR(__xludf.DUMMYFUNCTION("""COMPUTED_VALUE"""),3150.63)</f>
        <v>3150.63</v>
      </c>
      <c r="D320" s="27">
        <f>IFERROR(__xludf.DUMMYFUNCTION("""COMPUTED_VALUE"""),44120)</f>
        <v>44120</v>
      </c>
      <c r="I320" s="12"/>
      <c r="J320" s="34"/>
      <c r="N320" s="12"/>
      <c r="O320" s="12"/>
    </row>
    <row r="321" ht="12.75" spans="1:15">
      <c r="A321" s="12" t="str">
        <f>IFERROR(__xludf.DUMMYFUNCTION("""COMPUTED_VALUE"""),"HCTR11")</f>
        <v>HCTR11</v>
      </c>
      <c r="B321" s="12">
        <f>IFERROR(__xludf.DUMMYFUNCTION("""COMPUTED_VALUE"""),30)</f>
        <v>30</v>
      </c>
      <c r="C321" s="26">
        <f>IFERROR(__xludf.DUMMYFUNCTION("""COMPUTED_VALUE"""),3500.7)</f>
        <v>3500.7</v>
      </c>
      <c r="D321" s="27">
        <f>IFERROR(__xludf.DUMMYFUNCTION("""COMPUTED_VALUE"""),44105)</f>
        <v>44105</v>
      </c>
      <c r="I321" s="12"/>
      <c r="J321" s="34"/>
      <c r="N321" s="12"/>
      <c r="O321" s="12"/>
    </row>
    <row r="322" ht="12.75" spans="1:15">
      <c r="A322" s="12" t="str">
        <f>IFERROR(__xludf.DUMMYFUNCTION("""COMPUTED_VALUE"""),"RECR11")</f>
        <v>RECR11</v>
      </c>
      <c r="B322" s="12">
        <f>IFERROR(__xludf.DUMMYFUNCTION("""COMPUTED_VALUE"""),35)</f>
        <v>35</v>
      </c>
      <c r="C322" s="26">
        <f>IFERROR(__xludf.DUMMYFUNCTION("""COMPUTED_VALUE"""),3390.78184227499)</f>
        <v>3390.78184227499</v>
      </c>
      <c r="D322" s="27">
        <f>IFERROR(__xludf.DUMMYFUNCTION("""COMPUTED_VALUE"""),44106)</f>
        <v>44106</v>
      </c>
      <c r="I322" s="12"/>
      <c r="J322" s="34"/>
      <c r="N322" s="12"/>
      <c r="O322" s="12"/>
    </row>
    <row r="323" ht="12.75" spans="1:15">
      <c r="A323" s="12" t="str">
        <f>IFERROR(__xludf.DUMMYFUNCTION("""COMPUTED_VALUE"""),"RBRP11")</f>
        <v>RBRP11</v>
      </c>
      <c r="B323" s="12">
        <f>IFERROR(__xludf.DUMMYFUNCTION("""COMPUTED_VALUE"""),30)</f>
        <v>30</v>
      </c>
      <c r="C323" s="26">
        <f>IFERROR(__xludf.DUMMYFUNCTION("""COMPUTED_VALUE"""),2817.8643933)</f>
        <v>2817.8643933</v>
      </c>
      <c r="D323" s="27">
        <f>IFERROR(__xludf.DUMMYFUNCTION("""COMPUTED_VALUE"""),44106)</f>
        <v>44106</v>
      </c>
      <c r="I323" s="12"/>
      <c r="J323" s="34"/>
      <c r="N323" s="12"/>
      <c r="O323" s="12"/>
    </row>
    <row r="324" ht="12.75" spans="1:15">
      <c r="A324" s="12" t="str">
        <f>IFERROR(__xludf.DUMMYFUNCTION("""COMPUTED_VALUE"""),"HFOF11")</f>
        <v>HFOF11</v>
      </c>
      <c r="B324" s="12">
        <f>IFERROR(__xludf.DUMMYFUNCTION("""COMPUTED_VALUE"""),-124)</f>
        <v>-124</v>
      </c>
      <c r="C324" s="26">
        <f>IFERROR(__xludf.DUMMYFUNCTION("""COMPUTED_VALUE"""),-13943.88)</f>
        <v>-13943.88</v>
      </c>
      <c r="D324" s="27">
        <f>IFERROR(__xludf.DUMMYFUNCTION("""COMPUTED_VALUE"""),44083)</f>
        <v>44083</v>
      </c>
      <c r="I324" s="12"/>
      <c r="J324" s="34"/>
      <c r="N324" s="12"/>
      <c r="O324" s="12"/>
    </row>
    <row r="325" ht="12.75" spans="1:15">
      <c r="A325" s="12" t="str">
        <f>IFERROR(__xludf.DUMMYFUNCTION("""COMPUTED_VALUE"""),"HFOF11")</f>
        <v>HFOF11</v>
      </c>
      <c r="B325" s="12">
        <f>IFERROR(__xludf.DUMMYFUNCTION("""COMPUTED_VALUE"""),-52)</f>
        <v>-52</v>
      </c>
      <c r="C325" s="26">
        <f>IFERROR(__xludf.DUMMYFUNCTION("""COMPUTED_VALUE"""),-5840.23)</f>
        <v>-5840.23</v>
      </c>
      <c r="D325" s="27">
        <f>IFERROR(__xludf.DUMMYFUNCTION("""COMPUTED_VALUE"""),44083)</f>
        <v>44083</v>
      </c>
      <c r="I325" s="12"/>
      <c r="J325" s="34"/>
      <c r="N325" s="12"/>
      <c r="O325" s="12"/>
    </row>
    <row r="326" ht="12.75" spans="1:15">
      <c r="A326" s="12" t="str">
        <f>IFERROR(__xludf.DUMMYFUNCTION("""COMPUTED_VALUE"""),"TGAR11")</f>
        <v>TGAR11</v>
      </c>
      <c r="B326" s="12">
        <f>IFERROR(__xludf.DUMMYFUNCTION("""COMPUTED_VALUE"""),150)</f>
        <v>150</v>
      </c>
      <c r="C326" s="26">
        <f>IFERROR(__xludf.DUMMYFUNCTION("""COMPUTED_VALUE"""),19535.978797)</f>
        <v>19535.978797</v>
      </c>
      <c r="D326" s="27">
        <f>IFERROR(__xludf.DUMMYFUNCTION("""COMPUTED_VALUE"""),44084)</f>
        <v>44084</v>
      </c>
      <c r="I326" s="12"/>
      <c r="J326" s="34"/>
      <c r="N326" s="12"/>
      <c r="O326" s="12"/>
    </row>
    <row r="327" ht="12.75" spans="1:15">
      <c r="A327" s="12" t="str">
        <f>IFERROR(__xludf.DUMMYFUNCTION("""COMPUTED_VALUE"""),"TGAR11")</f>
        <v>TGAR11</v>
      </c>
      <c r="B327" s="12">
        <f>IFERROR(__xludf.DUMMYFUNCTION("""COMPUTED_VALUE"""),40)</f>
        <v>40</v>
      </c>
      <c r="C327" s="26">
        <f>IFERROR(__xludf.DUMMYFUNCTION("""COMPUTED_VALUE"""),5210.456710928)</f>
        <v>5210.456710928</v>
      </c>
      <c r="D327" s="27">
        <f>IFERROR(__xludf.DUMMYFUNCTION("""COMPUTED_VALUE"""),44085)</f>
        <v>44085</v>
      </c>
      <c r="I327" s="12"/>
      <c r="J327" s="34"/>
      <c r="N327" s="12"/>
      <c r="O327" s="12"/>
    </row>
    <row r="328" ht="12.75" spans="1:15">
      <c r="A328" s="12" t="str">
        <f>IFERROR(__xludf.DUMMYFUNCTION("""COMPUTED_VALUE"""),"HBRH11")</f>
        <v>HBRH11</v>
      </c>
      <c r="B328" s="12">
        <f>IFERROR(__xludf.DUMMYFUNCTION("""COMPUTED_VALUE"""),10)</f>
        <v>10</v>
      </c>
      <c r="C328" s="26">
        <f>IFERROR(__xludf.DUMMYFUNCTION("""COMPUTED_VALUE"""),974.80994947)</f>
        <v>974.80994947</v>
      </c>
      <c r="D328" s="27">
        <f>IFERROR(__xludf.DUMMYFUNCTION("""COMPUTED_VALUE"""),44085)</f>
        <v>44085</v>
      </c>
      <c r="I328" s="12"/>
      <c r="J328" s="34"/>
      <c r="N328" s="12"/>
      <c r="O328" s="12"/>
    </row>
    <row r="329" ht="12.75" spans="1:15">
      <c r="A329" s="12" t="str">
        <f>IFERROR(__xludf.DUMMYFUNCTION("""COMPUTED_VALUE"""),"HBRH11")</f>
        <v>HBRH11</v>
      </c>
      <c r="B329" s="12">
        <f>IFERROR(__xludf.DUMMYFUNCTION("""COMPUTED_VALUE"""),40)</f>
        <v>40</v>
      </c>
      <c r="C329" s="26">
        <f>IFERROR(__xludf.DUMMYFUNCTION("""COMPUTED_VALUE"""),3897.23916176)</f>
        <v>3897.23916176</v>
      </c>
      <c r="D329" s="27">
        <f>IFERROR(__xludf.DUMMYFUNCTION("""COMPUTED_VALUE"""),44085)</f>
        <v>44085</v>
      </c>
      <c r="I329" s="12"/>
      <c r="J329" s="34"/>
      <c r="N329" s="12"/>
      <c r="O329" s="12"/>
    </row>
    <row r="330" ht="12.75" spans="1:15">
      <c r="A330" s="12" t="str">
        <f>IFERROR(__xludf.DUMMYFUNCTION("""COMPUTED_VALUE"""),"HBRH11")</f>
        <v>HBRH11</v>
      </c>
      <c r="B330" s="12">
        <f>IFERROR(__xludf.DUMMYFUNCTION("""COMPUTED_VALUE"""),13)</f>
        <v>13</v>
      </c>
      <c r="C330" s="26">
        <f>IFERROR(__xludf.DUMMYFUNCTION("""COMPUTED_VALUE"""),1266.4726862242)</f>
        <v>1266.4726862242</v>
      </c>
      <c r="D330" s="27">
        <f>IFERROR(__xludf.DUMMYFUNCTION("""COMPUTED_VALUE"""),44085)</f>
        <v>44085</v>
      </c>
      <c r="I330" s="12"/>
      <c r="J330" s="34"/>
      <c r="N330" s="12"/>
      <c r="O330" s="12"/>
    </row>
    <row r="331" ht="12.75" spans="1:15">
      <c r="A331" s="12" t="str">
        <f>IFERROR(__xludf.DUMMYFUNCTION("""COMPUTED_VALUE"""),"HBRH11")</f>
        <v>HBRH11</v>
      </c>
      <c r="B331" s="12">
        <f>IFERROR(__xludf.DUMMYFUNCTION("""COMPUTED_VALUE"""),12)</f>
        <v>12</v>
      </c>
      <c r="C331" s="26">
        <f>IFERROR(__xludf.DUMMYFUNCTION("""COMPUTED_VALUE"""),1170.1320538656)</f>
        <v>1170.1320538656</v>
      </c>
      <c r="D331" s="27">
        <f>IFERROR(__xludf.DUMMYFUNCTION("""COMPUTED_VALUE"""),44085)</f>
        <v>44085</v>
      </c>
      <c r="I331" s="12"/>
      <c r="J331" s="34"/>
      <c r="N331" s="12"/>
      <c r="O331" s="12"/>
    </row>
    <row r="332" ht="12.75" spans="1:15">
      <c r="A332" s="12" t="str">
        <f>IFERROR(__xludf.DUMMYFUNCTION("""COMPUTED_VALUE"""),"MGFF11")</f>
        <v>MGFF11</v>
      </c>
      <c r="B332" s="12">
        <f>IFERROR(__xludf.DUMMYFUNCTION("""COMPUTED_VALUE"""),-3)</f>
        <v>-3</v>
      </c>
      <c r="C332" s="26">
        <f>IFERROR(__xludf.DUMMYFUNCTION("""COMPUTED_VALUE"""),-278.1315093468)</f>
        <v>-278.1315093468</v>
      </c>
      <c r="D332" s="27">
        <f>IFERROR(__xludf.DUMMYFUNCTION("""COMPUTED_VALUE"""),44085)</f>
        <v>44085</v>
      </c>
      <c r="I332" s="12"/>
      <c r="J332" s="34"/>
      <c r="N332" s="12"/>
      <c r="O332" s="12"/>
    </row>
    <row r="333" ht="12.75" spans="1:15">
      <c r="A333" s="12" t="str">
        <f>IFERROR(__xludf.DUMMYFUNCTION("""COMPUTED_VALUE"""),"MGFF11")</f>
        <v>MGFF11</v>
      </c>
      <c r="B333" s="12">
        <f>IFERROR(__xludf.DUMMYFUNCTION("""COMPUTED_VALUE"""),-46)</f>
        <v>-46</v>
      </c>
      <c r="C333" s="26">
        <f>IFERROR(__xludf.DUMMYFUNCTION("""COMPUTED_VALUE"""),-4262.75764496599)</f>
        <v>-4262.75764496599</v>
      </c>
      <c r="D333" s="27">
        <f>IFERROR(__xludf.DUMMYFUNCTION("""COMPUTED_VALUE"""),44085)</f>
        <v>44085</v>
      </c>
      <c r="I333" s="12"/>
      <c r="J333" s="34"/>
      <c r="N333" s="12"/>
      <c r="O333" s="12"/>
    </row>
    <row r="334" ht="12.75" spans="1:15">
      <c r="A334" s="12" t="str">
        <f>IFERROR(__xludf.DUMMYFUNCTION("""COMPUTED_VALUE"""),"MGFF11")</f>
        <v>MGFF11</v>
      </c>
      <c r="B334" s="12">
        <f>IFERROR(__xludf.DUMMYFUNCTION("""COMPUTED_VALUE"""),-34)</f>
        <v>-34</v>
      </c>
      <c r="C334" s="26">
        <f>IFERROR(__xludf.DUMMYFUNCTION("""COMPUTED_VALUE"""),-3150.15)</f>
        <v>-3150.15</v>
      </c>
      <c r="D334" s="27">
        <f>IFERROR(__xludf.DUMMYFUNCTION("""COMPUTED_VALUE"""),44085)</f>
        <v>44085</v>
      </c>
      <c r="I334" s="12"/>
      <c r="J334" s="34"/>
      <c r="N334" s="12"/>
      <c r="O334" s="12"/>
    </row>
    <row r="335" ht="12.75" spans="1:15">
      <c r="A335" s="12" t="str">
        <f>IFERROR(__xludf.DUMMYFUNCTION("""COMPUTED_VALUE"""),"MGFF11")</f>
        <v>MGFF11</v>
      </c>
      <c r="B335" s="12">
        <f>IFERROR(__xludf.DUMMYFUNCTION("""COMPUTED_VALUE"""),-1)</f>
        <v>-1</v>
      </c>
      <c r="C335" s="26">
        <f>IFERROR(__xludf.DUMMYFUNCTION("""COMPUTED_VALUE"""),-92.7459951836)</f>
        <v>-92.7459951836</v>
      </c>
      <c r="D335" s="27">
        <f>IFERROR(__xludf.DUMMYFUNCTION("""COMPUTED_VALUE"""),44085)</f>
        <v>44085</v>
      </c>
      <c r="I335" s="12"/>
      <c r="J335" s="34"/>
      <c r="N335" s="12"/>
      <c r="O335" s="12"/>
    </row>
    <row r="336" ht="12.75" spans="1:15">
      <c r="A336" s="12" t="str">
        <f>IFERROR(__xludf.DUMMYFUNCTION("""COMPUTED_VALUE"""),"MGFF11")</f>
        <v>MGFF11</v>
      </c>
      <c r="B336" s="12">
        <f>IFERROR(__xludf.DUMMYFUNCTION("""COMPUTED_VALUE"""),-46)</f>
        <v>-46</v>
      </c>
      <c r="C336" s="26">
        <f>IFERROR(__xludf.DUMMYFUNCTION("""COMPUTED_VALUE"""),-4261.08)</f>
        <v>-4261.08</v>
      </c>
      <c r="D336" s="27">
        <f>IFERROR(__xludf.DUMMYFUNCTION("""COMPUTED_VALUE"""),44085)</f>
        <v>44085</v>
      </c>
      <c r="I336" s="12"/>
      <c r="J336" s="34"/>
      <c r="N336" s="12"/>
      <c r="O336" s="12"/>
    </row>
    <row r="337" ht="12.75" spans="1:15">
      <c r="A337" s="12" t="str">
        <f>IFERROR(__xludf.DUMMYFUNCTION("""COMPUTED_VALUE"""),"HCTR11")</f>
        <v>HCTR11</v>
      </c>
      <c r="B337" s="12">
        <f>IFERROR(__xludf.DUMMYFUNCTION("""COMPUTED_VALUE"""),60)</f>
        <v>60</v>
      </c>
      <c r="C337" s="26">
        <f>IFERROR(__xludf.DUMMYFUNCTION("""COMPUTED_VALUE"""),7607.3306145)</f>
        <v>7607.3306145</v>
      </c>
      <c r="D337" s="27">
        <f>IFERROR(__xludf.DUMMYFUNCTION("""COMPUTED_VALUE"""),44088)</f>
        <v>44088</v>
      </c>
      <c r="I337" s="12"/>
      <c r="J337" s="34"/>
      <c r="N337" s="12"/>
      <c r="O337" s="12"/>
    </row>
    <row r="338" ht="12.75" spans="1:15">
      <c r="A338" s="12" t="str">
        <f>IFERROR(__xludf.DUMMYFUNCTION("""COMPUTED_VALUE"""),"HGRE11")</f>
        <v>HGRE11</v>
      </c>
      <c r="B338" s="12">
        <f>IFERROR(__xludf.DUMMYFUNCTION("""COMPUTED_VALUE"""),-19)</f>
        <v>-19</v>
      </c>
      <c r="C338" s="26">
        <f>IFERROR(__xludf.DUMMYFUNCTION("""COMPUTED_VALUE"""),-2917.10773184)</f>
        <v>-2917.10773184</v>
      </c>
      <c r="D338" s="27">
        <f>IFERROR(__xludf.DUMMYFUNCTION("""COMPUTED_VALUE"""),44088)</f>
        <v>44088</v>
      </c>
      <c r="I338" s="12"/>
      <c r="J338" s="34"/>
      <c r="N338" s="12"/>
      <c r="O338" s="12"/>
    </row>
    <row r="339" ht="12.75" spans="1:15">
      <c r="A339" s="12" t="str">
        <f>IFERROR(__xludf.DUMMYFUNCTION("""COMPUTED_VALUE"""),"HGRE11")</f>
        <v>HGRE11</v>
      </c>
      <c r="B339" s="12">
        <f>IFERROR(__xludf.DUMMYFUNCTION("""COMPUTED_VALUE"""),-36)</f>
        <v>-36</v>
      </c>
      <c r="C339" s="26">
        <f>IFERROR(__xludf.DUMMYFUNCTION("""COMPUTED_VALUE"""),-5528.249813996)</f>
        <v>-5528.249813996</v>
      </c>
      <c r="D339" s="27">
        <f>IFERROR(__xludf.DUMMYFUNCTION("""COMPUTED_VALUE"""),44088)</f>
        <v>44088</v>
      </c>
      <c r="I339" s="12"/>
      <c r="J339" s="34"/>
      <c r="N339" s="12"/>
      <c r="O339" s="12"/>
    </row>
    <row r="340" ht="12.75" spans="1:15">
      <c r="A340" s="12" t="str">
        <f>IFERROR(__xludf.DUMMYFUNCTION("""COMPUTED_VALUE"""),"HCTR11")</f>
        <v>HCTR11</v>
      </c>
      <c r="B340" s="12">
        <f>IFERROR(__xludf.DUMMYFUNCTION("""COMPUTED_VALUE"""),20)</f>
        <v>20</v>
      </c>
      <c r="C340" s="26">
        <f>IFERROR(__xludf.DUMMYFUNCTION("""COMPUTED_VALUE"""),2511.16010896)</f>
        <v>2511.16010896</v>
      </c>
      <c r="D340" s="27">
        <f>IFERROR(__xludf.DUMMYFUNCTION("""COMPUTED_VALUE"""),44089)</f>
        <v>44089</v>
      </c>
      <c r="I340" s="12"/>
      <c r="J340" s="34"/>
      <c r="N340" s="12"/>
      <c r="O340" s="12"/>
    </row>
    <row r="341" ht="12.75" spans="1:15">
      <c r="A341" s="12" t="str">
        <f>IFERROR(__xludf.DUMMYFUNCTION("""COMPUTED_VALUE"""),"HCTR11")</f>
        <v>HCTR11</v>
      </c>
      <c r="B341" s="12">
        <f>IFERROR(__xludf.DUMMYFUNCTION("""COMPUTED_VALUE"""),30)</f>
        <v>30</v>
      </c>
      <c r="C341" s="26">
        <f>IFERROR(__xludf.DUMMYFUNCTION("""COMPUTED_VALUE"""),3812.66778135)</f>
        <v>3812.66778135</v>
      </c>
      <c r="D341" s="27">
        <f>IFERROR(__xludf.DUMMYFUNCTION("""COMPUTED_VALUE"""),44099)</f>
        <v>44099</v>
      </c>
      <c r="I341" s="12"/>
      <c r="J341" s="34"/>
      <c r="N341" s="12"/>
      <c r="O341" s="12"/>
    </row>
    <row r="342" ht="12.75" spans="1:15">
      <c r="A342" s="12" t="str">
        <f>IFERROR(__xludf.DUMMYFUNCTION("""COMPUTED_VALUE"""),"MGFF11")</f>
        <v>MGFF11</v>
      </c>
      <c r="B342" s="12">
        <f>IFERROR(__xludf.DUMMYFUNCTION("""COMPUTED_VALUE"""),-210)</f>
        <v>-210</v>
      </c>
      <c r="C342" s="26">
        <f>IFERROR(__xludf.DUMMYFUNCTION("""COMPUTED_VALUE"""),-19355.1173862)</f>
        <v>-19355.1173862</v>
      </c>
      <c r="D342" s="27">
        <f>IFERROR(__xludf.DUMMYFUNCTION("""COMPUTED_VALUE"""),44099)</f>
        <v>44099</v>
      </c>
      <c r="I342" s="12"/>
      <c r="J342" s="34"/>
      <c r="N342" s="12"/>
      <c r="O342" s="12"/>
    </row>
    <row r="343" ht="12.75" spans="1:15">
      <c r="A343" s="12" t="str">
        <f>IFERROR(__xludf.DUMMYFUNCTION("""COMPUTED_VALUE"""),"RECR11")</f>
        <v>RECR11</v>
      </c>
      <c r="B343" s="12">
        <f>IFERROR(__xludf.DUMMYFUNCTION("""COMPUTED_VALUE"""),90)</f>
        <v>90</v>
      </c>
      <c r="C343" s="26">
        <f>IFERROR(__xludf.DUMMYFUNCTION("""COMPUTED_VALUE"""),9171.11036567)</f>
        <v>9171.11036567</v>
      </c>
      <c r="D343" s="27">
        <f>IFERROR(__xludf.DUMMYFUNCTION("""COMPUTED_VALUE"""),44099)</f>
        <v>44099</v>
      </c>
      <c r="I343" s="12"/>
      <c r="J343" s="34"/>
      <c r="N343" s="12"/>
      <c r="O343" s="12"/>
    </row>
    <row r="344" ht="12.75" spans="1:15">
      <c r="A344" s="12" t="str">
        <f>IFERROR(__xludf.DUMMYFUNCTION("""COMPUTED_VALUE"""),"RECR11")</f>
        <v>RECR11</v>
      </c>
      <c r="B344" s="12">
        <f>IFERROR(__xludf.DUMMYFUNCTION("""COMPUTED_VALUE"""),40)</f>
        <v>40</v>
      </c>
      <c r="C344" s="26">
        <f>IFERROR(__xludf.DUMMYFUNCTION("""COMPUTED_VALUE"""),4078.84093224)</f>
        <v>4078.84093224</v>
      </c>
      <c r="D344" s="27">
        <f>IFERROR(__xludf.DUMMYFUNCTION("""COMPUTED_VALUE"""),44099)</f>
        <v>44099</v>
      </c>
      <c r="I344" s="12"/>
      <c r="J344" s="34"/>
      <c r="N344" s="12"/>
      <c r="O344" s="12"/>
    </row>
    <row r="345" ht="12.75" spans="1:15">
      <c r="A345" s="12" t="str">
        <f>IFERROR(__xludf.DUMMYFUNCTION("""COMPUTED_VALUE"""),"RECR11")</f>
        <v>RECR11</v>
      </c>
      <c r="B345" s="12">
        <f>IFERROR(__xludf.DUMMYFUNCTION("""COMPUTED_VALUE"""),50)</f>
        <v>50</v>
      </c>
      <c r="C345" s="26">
        <f>IFERROR(__xludf.DUMMYFUNCTION("""COMPUTED_VALUE"""),5100.5617151)</f>
        <v>5100.5617151</v>
      </c>
      <c r="D345" s="27">
        <f>IFERROR(__xludf.DUMMYFUNCTION("""COMPUTED_VALUE"""),44099)</f>
        <v>44099</v>
      </c>
      <c r="I345" s="12"/>
      <c r="J345" s="34"/>
      <c r="N345" s="12"/>
      <c r="O345" s="12"/>
    </row>
    <row r="346" ht="12.75" spans="1:15">
      <c r="A346" s="12" t="str">
        <f>IFERROR(__xludf.DUMMYFUNCTION("""COMPUTED_VALUE"""),"TGAR11")</f>
        <v>TGAR11</v>
      </c>
      <c r="B346" s="12">
        <f>IFERROR(__xludf.DUMMYFUNCTION("""COMPUTED_VALUE"""),10)</f>
        <v>10</v>
      </c>
      <c r="C346" s="26">
        <f>IFERROR(__xludf.DUMMYFUNCTION("""COMPUTED_VALUE"""),1309.29981660999)</f>
        <v>1309.29981660999</v>
      </c>
      <c r="D346" s="27">
        <f>IFERROR(__xludf.DUMMYFUNCTION("""COMPUTED_VALUE"""),44099)</f>
        <v>44099</v>
      </c>
      <c r="I346" s="12"/>
      <c r="J346" s="34"/>
      <c r="N346" s="12"/>
      <c r="O346" s="12"/>
    </row>
    <row r="347" ht="12.75" spans="1:15">
      <c r="A347" s="12" t="str">
        <f>IFERROR(__xludf.DUMMYFUNCTION("""COMPUTED_VALUE"""),"VTLT11")</f>
        <v>VTLT11</v>
      </c>
      <c r="B347" s="12">
        <f>IFERROR(__xludf.DUMMYFUNCTION("""COMPUTED_VALUE"""),20)</f>
        <v>20</v>
      </c>
      <c r="C347" s="26">
        <f>IFERROR(__xludf.DUMMYFUNCTION("""COMPUTED_VALUE"""),2360.718764)</f>
        <v>2360.718764</v>
      </c>
      <c r="D347" s="27">
        <f>IFERROR(__xludf.DUMMYFUNCTION("""COMPUTED_VALUE"""),44099)</f>
        <v>44099</v>
      </c>
      <c r="I347" s="12"/>
      <c r="J347" s="34"/>
      <c r="N347" s="12"/>
      <c r="O347" s="12"/>
    </row>
    <row r="348" ht="12.75" spans="1:15">
      <c r="A348" s="12" t="str">
        <f>IFERROR(__xludf.DUMMYFUNCTION("""COMPUTED_VALUE"""),"RBVA11")</f>
        <v>RBVA11</v>
      </c>
      <c r="B348" s="12">
        <f>IFERROR(__xludf.DUMMYFUNCTION("""COMPUTED_VALUE"""),-70)</f>
        <v>-70</v>
      </c>
      <c r="C348" s="26">
        <f>IFERROR(__xludf.DUMMYFUNCTION("""COMPUTED_VALUE"""),-8361.9194281)</f>
        <v>-8361.9194281</v>
      </c>
      <c r="D348" s="27">
        <f>IFERROR(__xludf.DUMMYFUNCTION("""COMPUTED_VALUE"""),44099)</f>
        <v>44099</v>
      </c>
      <c r="I348" s="12"/>
      <c r="J348" s="34"/>
      <c r="N348" s="12"/>
      <c r="O348" s="12"/>
    </row>
    <row r="349" ht="12.75" spans="1:15">
      <c r="A349" s="12" t="str">
        <f>IFERROR(__xludf.DUMMYFUNCTION("""COMPUTED_VALUE"""),"XPLG11")</f>
        <v>XPLG11</v>
      </c>
      <c r="B349" s="12">
        <f>IFERROR(__xludf.DUMMYFUNCTION("""COMPUTED_VALUE"""),-15)</f>
        <v>-15</v>
      </c>
      <c r="C349" s="26">
        <f>IFERROR(__xludf.DUMMYFUNCTION("""COMPUTED_VALUE"""),-1943.765470695)</f>
        <v>-1943.765470695</v>
      </c>
      <c r="D349" s="27">
        <f>IFERROR(__xludf.DUMMYFUNCTION("""COMPUTED_VALUE"""),44102)</f>
        <v>44102</v>
      </c>
      <c r="I349" s="12"/>
      <c r="J349" s="34"/>
      <c r="N349" s="12"/>
      <c r="O349" s="12"/>
    </row>
    <row r="350" ht="12.75" spans="1:15">
      <c r="A350" s="12" t="str">
        <f>IFERROR(__xludf.DUMMYFUNCTION("""COMPUTED_VALUE"""),"MFII11")</f>
        <v>MFII11</v>
      </c>
      <c r="B350" s="12">
        <f>IFERROR(__xludf.DUMMYFUNCTION("""COMPUTED_VALUE"""),30)</f>
        <v>30</v>
      </c>
      <c r="C350" s="26">
        <f>IFERROR(__xludf.DUMMYFUNCTION("""COMPUTED_VALUE"""),3800.66448255)</f>
        <v>3800.66448255</v>
      </c>
      <c r="D350" s="27">
        <f>IFERROR(__xludf.DUMMYFUNCTION("""COMPUTED_VALUE"""),44103)</f>
        <v>44103</v>
      </c>
      <c r="I350" s="12"/>
      <c r="J350" s="34"/>
      <c r="N350" s="12"/>
      <c r="O350" s="12"/>
    </row>
    <row r="351" ht="12.75" spans="1:15">
      <c r="A351" s="12" t="str">
        <f>IFERROR(__xludf.DUMMYFUNCTION("""COMPUTED_VALUE"""),"RBED11")</f>
        <v>RBED11</v>
      </c>
      <c r="B351" s="12">
        <f>IFERROR(__xludf.DUMMYFUNCTION("""COMPUTED_VALUE"""),20)</f>
        <v>20</v>
      </c>
      <c r="C351" s="26">
        <f>IFERROR(__xludf.DUMMYFUNCTION("""COMPUTED_VALUE"""),3268.9983732)</f>
        <v>3268.9983732</v>
      </c>
      <c r="D351" s="27">
        <f>IFERROR(__xludf.DUMMYFUNCTION("""COMPUTED_VALUE"""),44103)</f>
        <v>44103</v>
      </c>
      <c r="I351" s="12"/>
      <c r="J351" s="34"/>
      <c r="N351" s="12"/>
      <c r="O351" s="12"/>
    </row>
    <row r="352" ht="12.75" spans="1:15">
      <c r="A352" s="12" t="str">
        <f>IFERROR(__xludf.DUMMYFUNCTION("""COMPUTED_VALUE"""),"RBRP11")</f>
        <v>RBRP11</v>
      </c>
      <c r="B352" s="12">
        <f>IFERROR(__xludf.DUMMYFUNCTION("""COMPUTED_VALUE"""),75)</f>
        <v>75</v>
      </c>
      <c r="C352" s="26">
        <f>IFERROR(__xludf.DUMMYFUNCTION("""COMPUTED_VALUE"""),6989.880932475)</f>
        <v>6989.880932475</v>
      </c>
      <c r="D352" s="27">
        <f>IFERROR(__xludf.DUMMYFUNCTION("""COMPUTED_VALUE"""),44104)</f>
        <v>44104</v>
      </c>
      <c r="I352" s="12"/>
      <c r="J352" s="34"/>
      <c r="N352" s="12"/>
      <c r="O352" s="12"/>
    </row>
    <row r="353" ht="12.75" spans="1:15">
      <c r="A353" s="12" t="str">
        <f>IFERROR(__xludf.DUMMYFUNCTION("""COMPUTED_VALUE"""),"LVBI11")</f>
        <v>LVBI11</v>
      </c>
      <c r="B353" s="12">
        <f>IFERROR(__xludf.DUMMYFUNCTION("""COMPUTED_VALUE"""),67)</f>
        <v>67</v>
      </c>
      <c r="C353" s="26">
        <f>IFERROR(__xludf.DUMMYFUNCTION("""COMPUTED_VALUE"""),7906)</f>
        <v>7906</v>
      </c>
      <c r="D353" s="27">
        <f>IFERROR(__xludf.DUMMYFUNCTION("""COMPUTED_VALUE"""),44090)</f>
        <v>44090</v>
      </c>
      <c r="I353" s="12"/>
      <c r="J353" s="34"/>
      <c r="N353" s="12"/>
      <c r="O353" s="12"/>
    </row>
    <row r="354" ht="12.75" spans="1:15">
      <c r="A354" s="12" t="str">
        <f>IFERROR(__xludf.DUMMYFUNCTION("""COMPUTED_VALUE"""),"BBPO11")</f>
        <v>BBPO11</v>
      </c>
      <c r="B354" s="12">
        <f>IFERROR(__xludf.DUMMYFUNCTION("""COMPUTED_VALUE"""),-45)</f>
        <v>-45</v>
      </c>
      <c r="C354" s="26">
        <f>IFERROR(__xludf.DUMMYFUNCTION("""COMPUTED_VALUE"""),-6117.377735705)</f>
        <v>-6117.377735705</v>
      </c>
      <c r="D354" s="27">
        <f>IFERROR(__xludf.DUMMYFUNCTION("""COMPUTED_VALUE"""),44049)</f>
        <v>44049</v>
      </c>
      <c r="I354" s="12"/>
      <c r="J354" s="34"/>
      <c r="N354" s="12"/>
      <c r="O354" s="12"/>
    </row>
    <row r="355" ht="12.75" spans="1:15">
      <c r="A355" s="12" t="str">
        <f>IFERROR(__xludf.DUMMYFUNCTION("""COMPUTED_VALUE"""),"RBVA11")</f>
        <v>RBVA11</v>
      </c>
      <c r="B355" s="12">
        <f>IFERROR(__xludf.DUMMYFUNCTION("""COMPUTED_VALUE"""),70)</f>
        <v>70</v>
      </c>
      <c r="C355" s="26">
        <f>IFERROR(__xludf.DUMMYFUNCTION("""COMPUTED_VALUE"""),8497.1)</f>
        <v>8497.1</v>
      </c>
      <c r="D355" s="27">
        <f>IFERROR(__xludf.DUMMYFUNCTION("""COMPUTED_VALUE"""),44049)</f>
        <v>44049</v>
      </c>
      <c r="I355" s="12"/>
      <c r="J355" s="34"/>
      <c r="N355" s="12"/>
      <c r="O355" s="12"/>
    </row>
    <row r="356" ht="12.75" spans="1:15">
      <c r="A356" s="12" t="str">
        <f>IFERROR(__xludf.DUMMYFUNCTION("""COMPUTED_VALUE"""),"VINO11")</f>
        <v>VINO11</v>
      </c>
      <c r="B356" s="12">
        <f>IFERROR(__xludf.DUMMYFUNCTION("""COMPUTED_VALUE"""),1000)</f>
        <v>1000</v>
      </c>
      <c r="C356" s="26">
        <f>IFERROR(__xludf.DUMMYFUNCTION("""COMPUTED_VALUE"""),11503.53135)</f>
        <v>11503.53135</v>
      </c>
      <c r="D356" s="27">
        <f>IFERROR(__xludf.DUMMYFUNCTION("""COMPUTED_VALUE"""),44064)</f>
        <v>44064</v>
      </c>
      <c r="I356" s="12"/>
      <c r="J356" s="34"/>
      <c r="N356" s="12"/>
      <c r="O356" s="12"/>
    </row>
    <row r="357" ht="12.75" spans="1:15">
      <c r="A357" s="12" t="str">
        <f>IFERROR(__xludf.DUMMYFUNCTION("""COMPUTED_VALUE"""),"VINO11")</f>
        <v>VINO11</v>
      </c>
      <c r="B357" s="12">
        <f>IFERROR(__xludf.DUMMYFUNCTION("""COMPUTED_VALUE"""),1000)</f>
        <v>1000</v>
      </c>
      <c r="C357" s="26">
        <f>IFERROR(__xludf.DUMMYFUNCTION("""COMPUTED_VALUE"""),11481.51)</f>
        <v>11481.51</v>
      </c>
      <c r="D357" s="27">
        <f>IFERROR(__xludf.DUMMYFUNCTION("""COMPUTED_VALUE"""),44064)</f>
        <v>44064</v>
      </c>
      <c r="I357" s="12"/>
      <c r="J357" s="34"/>
      <c r="N357" s="12"/>
      <c r="O357" s="12"/>
    </row>
    <row r="358" ht="12.75" spans="1:15">
      <c r="A358" s="12" t="str">
        <f>IFERROR(__xludf.DUMMYFUNCTION("""COMPUTED_VALUE"""),"HGCR11")</f>
        <v>HGCR11</v>
      </c>
      <c r="B358" s="12">
        <f>IFERROR(__xludf.DUMMYFUNCTION("""COMPUTED_VALUE"""),-160)</f>
        <v>-160</v>
      </c>
      <c r="C358" s="26">
        <f>IFERROR(__xludf.DUMMYFUNCTION("""COMPUTED_VALUE"""),-16466.1318472)</f>
        <v>-16466.1318472</v>
      </c>
      <c r="D358" s="27">
        <f>IFERROR(__xludf.DUMMYFUNCTION("""COMPUTED_VALUE"""),44069)</f>
        <v>44069</v>
      </c>
      <c r="I358" s="12"/>
      <c r="J358" s="34"/>
      <c r="N358" s="12"/>
      <c r="O358" s="12"/>
    </row>
    <row r="359" ht="12.75" spans="1:15">
      <c r="A359" s="12" t="str">
        <f>IFERROR(__xludf.DUMMYFUNCTION("""COMPUTED_VALUE"""),"MCCI11")</f>
        <v>MCCI11</v>
      </c>
      <c r="B359" s="12">
        <f>IFERROR(__xludf.DUMMYFUNCTION("""COMPUTED_VALUE"""),175)</f>
        <v>175</v>
      </c>
      <c r="C359" s="26">
        <f>IFERROR(__xludf.DUMMYFUNCTION("""COMPUTED_VALUE"""),17507.171231075)</f>
        <v>17507.171231075</v>
      </c>
      <c r="D359" s="27">
        <f>IFERROR(__xludf.DUMMYFUNCTION("""COMPUTED_VALUE"""),44069)</f>
        <v>44069</v>
      </c>
      <c r="I359" s="12"/>
      <c r="J359" s="34"/>
      <c r="N359" s="12"/>
      <c r="O359" s="12"/>
    </row>
    <row r="360" ht="12.75" spans="1:15">
      <c r="A360" s="12" t="str">
        <f>IFERROR(__xludf.DUMMYFUNCTION("""COMPUTED_VALUE"""),"MCCI11")</f>
        <v>MCCI11</v>
      </c>
      <c r="B360" s="12">
        <f>IFERROR(__xludf.DUMMYFUNCTION("""COMPUTED_VALUE"""),80)</f>
        <v>80</v>
      </c>
      <c r="C360" s="26">
        <f>IFERROR(__xludf.DUMMYFUNCTION("""COMPUTED_VALUE"""),7998.3981004)</f>
        <v>7998.3981004</v>
      </c>
      <c r="D360" s="27">
        <f>IFERROR(__xludf.DUMMYFUNCTION("""COMPUTED_VALUE"""),44069)</f>
        <v>44069</v>
      </c>
      <c r="I360" s="12"/>
      <c r="J360" s="34"/>
      <c r="N360" s="12"/>
      <c r="O360" s="12"/>
    </row>
    <row r="361" ht="12.75" spans="1:15">
      <c r="A361" s="12" t="str">
        <f>IFERROR(__xludf.DUMMYFUNCTION("""COMPUTED_VALUE"""),"VINO11")</f>
        <v>VINO11</v>
      </c>
      <c r="B361" s="12">
        <f>IFERROR(__xludf.DUMMYFUNCTION("""COMPUTED_VALUE"""),500)</f>
        <v>500</v>
      </c>
      <c r="C361" s="26">
        <f>IFERROR(__xludf.DUMMYFUNCTION("""COMPUTED_VALUE"""),5749.76012519999)</f>
        <v>5749.76012519999</v>
      </c>
      <c r="D361" s="27">
        <f>IFERROR(__xludf.DUMMYFUNCTION("""COMPUTED_VALUE"""),44069)</f>
        <v>44069</v>
      </c>
      <c r="I361" s="12"/>
      <c r="J361" s="34"/>
      <c r="N361" s="12"/>
      <c r="O361" s="12"/>
    </row>
    <row r="362" ht="12.75" spans="1:15">
      <c r="A362" s="12" t="str">
        <f>IFERROR(__xludf.DUMMYFUNCTION("""COMPUTED_VALUE"""),"XPML11")</f>
        <v>XPML11</v>
      </c>
      <c r="B362" s="12">
        <f>IFERROR(__xludf.DUMMYFUNCTION("""COMPUTED_VALUE"""),-30)</f>
        <v>-30</v>
      </c>
      <c r="C362" s="26">
        <f>IFERROR(__xludf.DUMMYFUNCTION("""COMPUTED_VALUE"""),-3300.23250012)</f>
        <v>-3300.23250012</v>
      </c>
      <c r="D362" s="27">
        <f>IFERROR(__xludf.DUMMYFUNCTION("""COMPUTED_VALUE"""),44069)</f>
        <v>44069</v>
      </c>
      <c r="I362" s="12"/>
      <c r="J362" s="34"/>
      <c r="N362" s="12"/>
      <c r="O362" s="12"/>
    </row>
    <row r="363" ht="12.75" spans="1:15">
      <c r="A363" s="12" t="str">
        <f>IFERROR(__xludf.DUMMYFUNCTION("""COMPUTED_VALUE"""),"XPML11")</f>
        <v>XPML11</v>
      </c>
      <c r="B363" s="12">
        <f>IFERROR(__xludf.DUMMYFUNCTION("""COMPUTED_VALUE"""),-104)</f>
        <v>-104</v>
      </c>
      <c r="C363" s="26">
        <f>IFERROR(__xludf.DUMMYFUNCTION("""COMPUTED_VALUE"""),-11442.99)</f>
        <v>-11442.99</v>
      </c>
      <c r="D363" s="27">
        <f>IFERROR(__xludf.DUMMYFUNCTION("""COMPUTED_VALUE"""),44069)</f>
        <v>44069</v>
      </c>
      <c r="I363" s="12"/>
      <c r="J363" s="34"/>
      <c r="N363" s="12"/>
      <c r="O363" s="12"/>
    </row>
    <row r="364" ht="12.75" spans="1:15">
      <c r="A364" s="12" t="str">
        <f>IFERROR(__xludf.DUMMYFUNCTION("""COMPUTED_VALUE"""),"HGBS11")</f>
        <v>HGBS11</v>
      </c>
      <c r="B364" s="12">
        <f>IFERROR(__xludf.DUMMYFUNCTION("""COMPUTED_VALUE"""),-20)</f>
        <v>-20</v>
      </c>
      <c r="C364" s="26">
        <f>IFERROR(__xludf.DUMMYFUNCTION("""COMPUTED_VALUE"""),-4271.92529731999)</f>
        <v>-4271.92529731999</v>
      </c>
      <c r="D364" s="27">
        <f>IFERROR(__xludf.DUMMYFUNCTION("""COMPUTED_VALUE"""),44070)</f>
        <v>44070</v>
      </c>
      <c r="I364" s="12"/>
      <c r="J364" s="34"/>
      <c r="N364" s="12"/>
      <c r="O364" s="12"/>
    </row>
    <row r="365" ht="12.75" spans="1:15">
      <c r="A365" s="12" t="str">
        <f>IFERROR(__xludf.DUMMYFUNCTION("""COMPUTED_VALUE"""),"HGBS11")</f>
        <v>HGBS11</v>
      </c>
      <c r="B365" s="12">
        <f>IFERROR(__xludf.DUMMYFUNCTION("""COMPUTED_VALUE"""),-45)</f>
        <v>-45</v>
      </c>
      <c r="C365" s="26">
        <f>IFERROR(__xludf.DUMMYFUNCTION("""COMPUTED_VALUE"""),-9612.82642415)</f>
        <v>-9612.82642415</v>
      </c>
      <c r="D365" s="27">
        <f>IFERROR(__xludf.DUMMYFUNCTION("""COMPUTED_VALUE"""),44070)</f>
        <v>44070</v>
      </c>
      <c r="I365" s="12"/>
      <c r="J365" s="34"/>
      <c r="N365" s="12"/>
      <c r="O365" s="12"/>
    </row>
    <row r="366" ht="12.75" spans="1:15">
      <c r="A366" s="12" t="str">
        <f>IFERROR(__xludf.DUMMYFUNCTION("""COMPUTED_VALUE"""),"VTLT11")</f>
        <v>VTLT11</v>
      </c>
      <c r="B366" s="12">
        <f>IFERROR(__xludf.DUMMYFUNCTION("""COMPUTED_VALUE"""),120)</f>
        <v>120</v>
      </c>
      <c r="C366" s="26">
        <f>IFERROR(__xludf.DUMMYFUNCTION("""COMPUTED_VALUE"""),13621.80347824)</f>
        <v>13621.80347824</v>
      </c>
      <c r="D366" s="27">
        <f>IFERROR(__xludf.DUMMYFUNCTION("""COMPUTED_VALUE"""),44070)</f>
        <v>44070</v>
      </c>
      <c r="I366" s="12"/>
      <c r="J366" s="34"/>
      <c r="N366" s="12"/>
      <c r="O366" s="12"/>
    </row>
    <row r="367" ht="12.75" spans="1:15">
      <c r="A367" s="12" t="str">
        <f>IFERROR(__xludf.DUMMYFUNCTION("""COMPUTED_VALUE"""),"VTLT11")</f>
        <v>VTLT11</v>
      </c>
      <c r="B367" s="12">
        <f>IFERROR(__xludf.DUMMYFUNCTION("""COMPUTED_VALUE"""),80)</f>
        <v>80</v>
      </c>
      <c r="C367" s="26">
        <f>IFERROR(__xludf.DUMMYFUNCTION("""COMPUTED_VALUE"""),9082.756092)</f>
        <v>9082.756092</v>
      </c>
      <c r="D367" s="27">
        <f>IFERROR(__xludf.DUMMYFUNCTION("""COMPUTED_VALUE"""),44070)</f>
        <v>44070</v>
      </c>
      <c r="I367" s="12"/>
      <c r="J367" s="34"/>
      <c r="N367" s="12"/>
      <c r="O367" s="12"/>
    </row>
    <row r="368" ht="12.75" spans="1:15">
      <c r="A368" s="12" t="str">
        <f>IFERROR(__xludf.DUMMYFUNCTION("""COMPUTED_VALUE"""),"HGRE11")</f>
        <v>HGRE11</v>
      </c>
      <c r="B368" s="12">
        <f>IFERROR(__xludf.DUMMYFUNCTION("""COMPUTED_VALUE"""),35)</f>
        <v>35</v>
      </c>
      <c r="C368" s="26">
        <f>IFERROR(__xludf.DUMMYFUNCTION("""COMPUTED_VALUE"""),5054.84915217)</f>
        <v>5054.84915217</v>
      </c>
      <c r="D368" s="27">
        <f>IFERROR(__xludf.DUMMYFUNCTION("""COMPUTED_VALUE"""),44071)</f>
        <v>44071</v>
      </c>
      <c r="I368" s="12"/>
      <c r="J368" s="34"/>
      <c r="N368" s="12"/>
      <c r="O368" s="12"/>
    </row>
    <row r="369" ht="12.75" spans="1:15">
      <c r="A369" s="12" t="str">
        <f>IFERROR(__xludf.DUMMYFUNCTION("""COMPUTED_VALUE"""),"HGRE11")</f>
        <v>HGRE11</v>
      </c>
      <c r="B369" s="12">
        <f>IFERROR(__xludf.DUMMYFUNCTION("""COMPUTED_VALUE"""),35)</f>
        <v>35</v>
      </c>
      <c r="C369" s="26">
        <f>IFERROR(__xludf.DUMMYFUNCTION("""COMPUTED_VALUE"""),5111.56473899999)</f>
        <v>5111.56473899999</v>
      </c>
      <c r="D369" s="27">
        <f>IFERROR(__xludf.DUMMYFUNCTION("""COMPUTED_VALUE"""),44071)</f>
        <v>44071</v>
      </c>
      <c r="I369" s="12"/>
      <c r="J369" s="34"/>
      <c r="N369" s="12"/>
      <c r="O369" s="12"/>
    </row>
    <row r="370" ht="12.75" spans="1:15">
      <c r="A370" s="12" t="str">
        <f>IFERROR(__xludf.DUMMYFUNCTION("""COMPUTED_VALUE"""),"IRDM11")</f>
        <v>IRDM11</v>
      </c>
      <c r="B370" s="12">
        <f>IFERROR(__xludf.DUMMYFUNCTION("""COMPUTED_VALUE"""),50)</f>
        <v>50</v>
      </c>
      <c r="C370" s="26">
        <f>IFERROR(__xludf.DUMMYFUNCTION("""COMPUTED_VALUE"""),4839.5)</f>
        <v>4839.5</v>
      </c>
      <c r="D370" s="27">
        <f>IFERROR(__xludf.DUMMYFUNCTION("""COMPUTED_VALUE"""),44053)</f>
        <v>44053</v>
      </c>
      <c r="I370" s="12"/>
      <c r="J370" s="34"/>
      <c r="N370" s="12"/>
      <c r="O370" s="12"/>
    </row>
    <row r="371" ht="12.75" spans="1:15">
      <c r="A371" s="12" t="str">
        <f>IFERROR(__xludf.DUMMYFUNCTION("""COMPUTED_VALUE"""),"SPTW11")</f>
        <v>SPTW11</v>
      </c>
      <c r="B371" s="12">
        <f>IFERROR(__xludf.DUMMYFUNCTION("""COMPUTED_VALUE"""),-64)</f>
        <v>-64</v>
      </c>
      <c r="C371" s="26">
        <f>IFERROR(__xludf.DUMMYFUNCTION("""COMPUTED_VALUE"""),-4983.83)</f>
        <v>-4983.83</v>
      </c>
      <c r="D371" s="27">
        <f>IFERROR(__xludf.DUMMYFUNCTION("""COMPUTED_VALUE"""),44025)</f>
        <v>44025</v>
      </c>
      <c r="I371" s="12"/>
      <c r="J371" s="34"/>
      <c r="N371" s="12"/>
      <c r="O371" s="12"/>
    </row>
    <row r="372" ht="12.75" spans="1:15">
      <c r="A372" s="12" t="str">
        <f>IFERROR(__xludf.DUMMYFUNCTION("""COMPUTED_VALUE"""),"SPTW11")</f>
        <v>SPTW11</v>
      </c>
      <c r="B372" s="12">
        <f>IFERROR(__xludf.DUMMYFUNCTION("""COMPUTED_VALUE"""),-6)</f>
        <v>-6</v>
      </c>
      <c r="C372" s="26">
        <f>IFERROR(__xludf.DUMMYFUNCTION("""COMPUTED_VALUE"""),-467.191528234)</f>
        <v>-467.191528234</v>
      </c>
      <c r="D372" s="27">
        <f>IFERROR(__xludf.DUMMYFUNCTION("""COMPUTED_VALUE"""),44025)</f>
        <v>44025</v>
      </c>
      <c r="I372" s="12"/>
      <c r="J372" s="34"/>
      <c r="N372" s="12"/>
      <c r="O372" s="12"/>
    </row>
    <row r="373" ht="12.75" spans="1:15">
      <c r="A373" s="12" t="str">
        <f>IFERROR(__xludf.DUMMYFUNCTION("""COMPUTED_VALUE"""),"HFOF11")</f>
        <v>HFOF11</v>
      </c>
      <c r="B373" s="12">
        <f>IFERROR(__xludf.DUMMYFUNCTION("""COMPUTED_VALUE"""),15)</f>
        <v>15</v>
      </c>
      <c r="C373" s="26">
        <f>IFERROR(__xludf.DUMMYFUNCTION("""COMPUTED_VALUE"""),1505.4)</f>
        <v>1505.4</v>
      </c>
      <c r="D373" s="27">
        <f>IFERROR(__xludf.DUMMYFUNCTION("""COMPUTED_VALUE"""),44014)</f>
        <v>44014</v>
      </c>
      <c r="I373" s="12"/>
      <c r="J373" s="34"/>
      <c r="N373" s="12"/>
      <c r="O373" s="12"/>
    </row>
    <row r="374" ht="12.75" spans="1:15">
      <c r="A374" s="12" t="str">
        <f>IFERROR(__xludf.DUMMYFUNCTION("""COMPUTED_VALUE"""),"HFOF11")</f>
        <v>HFOF11</v>
      </c>
      <c r="B374" s="12">
        <f>IFERROR(__xludf.DUMMYFUNCTION("""COMPUTED_VALUE"""),4)</f>
        <v>4</v>
      </c>
      <c r="C374" s="26">
        <f>IFERROR(__xludf.DUMMYFUNCTION("""COMPUTED_VALUE"""),401.44)</f>
        <v>401.44</v>
      </c>
      <c r="D374" s="27">
        <f>IFERROR(__xludf.DUMMYFUNCTION("""COMPUTED_VALUE"""),44027)</f>
        <v>44027</v>
      </c>
      <c r="I374" s="12"/>
      <c r="J374" s="34"/>
      <c r="N374" s="12"/>
      <c r="O374" s="12"/>
    </row>
    <row r="375" ht="12.75" spans="1:15">
      <c r="A375" s="12" t="str">
        <f>IFERROR(__xludf.DUMMYFUNCTION("""COMPUTED_VALUE"""),"HGLG11")</f>
        <v>HGLG11</v>
      </c>
      <c r="B375" s="12">
        <f>IFERROR(__xludf.DUMMYFUNCTION("""COMPUTED_VALUE"""),43)</f>
        <v>43</v>
      </c>
      <c r="C375" s="26">
        <f>IFERROR(__xludf.DUMMYFUNCTION("""COMPUTED_VALUE"""),6680.91)</f>
        <v>6680.91</v>
      </c>
      <c r="D375" s="27">
        <f>IFERROR(__xludf.DUMMYFUNCTION("""COMPUTED_VALUE"""),44042)</f>
        <v>44042</v>
      </c>
      <c r="I375" s="12"/>
      <c r="J375" s="34"/>
      <c r="N375" s="12"/>
      <c r="O375" s="12"/>
    </row>
    <row r="376" ht="12.75" spans="1:15">
      <c r="A376" s="12" t="str">
        <f>IFERROR(__xludf.DUMMYFUNCTION("""COMPUTED_VALUE"""),"IRDM11")</f>
        <v>IRDM11</v>
      </c>
      <c r="B376" s="12">
        <f>IFERROR(__xludf.DUMMYFUNCTION("""COMPUTED_VALUE"""),145)</f>
        <v>145</v>
      </c>
      <c r="C376" s="26">
        <f>IFERROR(__xludf.DUMMYFUNCTION("""COMPUTED_VALUE"""),14034.55)</f>
        <v>14034.55</v>
      </c>
      <c r="D376" s="27">
        <f>IFERROR(__xludf.DUMMYFUNCTION("""COMPUTED_VALUE"""),44040)</f>
        <v>44040</v>
      </c>
      <c r="I376" s="12"/>
      <c r="J376" s="34"/>
      <c r="N376" s="12"/>
      <c r="O376" s="12"/>
    </row>
    <row r="377" ht="12.75" spans="1:15">
      <c r="A377" s="12" t="str">
        <f>IFERROR(__xludf.DUMMYFUNCTION("""COMPUTED_VALUE"""),"XPLG11")</f>
        <v>XPLG11</v>
      </c>
      <c r="B377" s="12">
        <f>IFERROR(__xludf.DUMMYFUNCTION("""COMPUTED_VALUE"""),15)</f>
        <v>15</v>
      </c>
      <c r="C377" s="26">
        <f>IFERROR(__xludf.DUMMYFUNCTION("""COMPUTED_VALUE"""),1731.07)</f>
        <v>1731.07</v>
      </c>
      <c r="D377" s="27">
        <f>IFERROR(__xludf.DUMMYFUNCTION("""COMPUTED_VALUE"""),43999)</f>
        <v>43999</v>
      </c>
      <c r="I377" s="12"/>
      <c r="J377" s="34"/>
      <c r="N377" s="12"/>
      <c r="O377" s="12"/>
    </row>
    <row r="378" ht="12.75" spans="1:15">
      <c r="A378" s="12" t="str">
        <f>IFERROR(__xludf.DUMMYFUNCTION("""COMPUTED_VALUE"""),"MGFF11")</f>
        <v>MGFF11</v>
      </c>
      <c r="B378" s="12">
        <f>IFERROR(__xludf.DUMMYFUNCTION("""COMPUTED_VALUE"""),53)</f>
        <v>53</v>
      </c>
      <c r="C378" s="26">
        <f>IFERROR(__xludf.DUMMYFUNCTION("""COMPUTED_VALUE"""),4607.82)</f>
        <v>4607.82</v>
      </c>
      <c r="D378" s="27">
        <f>IFERROR(__xludf.DUMMYFUNCTION("""COMPUTED_VALUE"""),43985)</f>
        <v>43985</v>
      </c>
      <c r="I378" s="12"/>
      <c r="J378" s="34"/>
      <c r="N378" s="12"/>
      <c r="O378" s="12"/>
    </row>
    <row r="379" ht="12.75" spans="1:15">
      <c r="A379" s="12" t="str">
        <f>IFERROR(__xludf.DUMMYFUNCTION("""COMPUTED_VALUE"""),"LVBI11")</f>
        <v>LVBI11</v>
      </c>
      <c r="B379" s="12">
        <f>IFERROR(__xludf.DUMMYFUNCTION("""COMPUTED_VALUE"""),10)</f>
        <v>10</v>
      </c>
      <c r="C379" s="26">
        <f>IFERROR(__xludf.DUMMYFUNCTION("""COMPUTED_VALUE"""),1150.23999999999)</f>
        <v>1150.23999999999</v>
      </c>
      <c r="D379" s="27">
        <f>IFERROR(__xludf.DUMMYFUNCTION("""COMPUTED_VALUE"""),43955)</f>
        <v>43955</v>
      </c>
      <c r="I379" s="12"/>
      <c r="J379" s="34"/>
      <c r="N379" s="12"/>
      <c r="O379" s="12"/>
    </row>
    <row r="380" ht="12.75" spans="1:15">
      <c r="A380" s="12" t="str">
        <f>IFERROR(__xludf.DUMMYFUNCTION("""COMPUTED_VALUE"""),"XPML11")</f>
        <v>XPML11</v>
      </c>
      <c r="B380" s="12">
        <f>IFERROR(__xludf.DUMMYFUNCTION("""COMPUTED_VALUE"""),10)</f>
        <v>10</v>
      </c>
      <c r="C380" s="26">
        <f>IFERROR(__xludf.DUMMYFUNCTION("""COMPUTED_VALUE"""),914.17)</f>
        <v>914.17</v>
      </c>
      <c r="D380" s="27">
        <f>IFERROR(__xludf.DUMMYFUNCTION("""COMPUTED_VALUE"""),43955)</f>
        <v>43955</v>
      </c>
      <c r="I380" s="12"/>
      <c r="J380" s="34"/>
      <c r="N380" s="12"/>
      <c r="O380" s="12"/>
    </row>
    <row r="381" ht="12.75" spans="1:15">
      <c r="A381" s="12" t="str">
        <f>IFERROR(__xludf.DUMMYFUNCTION("""COMPUTED_VALUE"""),"XPML11")</f>
        <v>XPML11</v>
      </c>
      <c r="B381" s="12">
        <f>IFERROR(__xludf.DUMMYFUNCTION("""COMPUTED_VALUE"""),10)</f>
        <v>10</v>
      </c>
      <c r="C381" s="26">
        <f>IFERROR(__xludf.DUMMYFUNCTION("""COMPUTED_VALUE"""),877.2610873)</f>
        <v>877.2610873</v>
      </c>
      <c r="D381" s="27">
        <f>IFERROR(__xludf.DUMMYFUNCTION("""COMPUTED_VALUE"""),43963)</f>
        <v>43963</v>
      </c>
      <c r="I381" s="12"/>
      <c r="J381" s="34"/>
      <c r="N381" s="12"/>
      <c r="O381" s="12"/>
    </row>
    <row r="382" ht="12.75" spans="1:15">
      <c r="A382" s="12" t="str">
        <f>IFERROR(__xludf.DUMMYFUNCTION("""COMPUTED_VALUE"""),"HGBS11")</f>
        <v>HGBS11</v>
      </c>
      <c r="B382" s="12">
        <f>IFERROR(__xludf.DUMMYFUNCTION("""COMPUTED_VALUE"""),5)</f>
        <v>5</v>
      </c>
      <c r="C382" s="26">
        <f>IFERROR(__xludf.DUMMYFUNCTION("""COMPUTED_VALUE"""),952.541773524999)</f>
        <v>952.541773524999</v>
      </c>
      <c r="D382" s="27">
        <f>IFERROR(__xludf.DUMMYFUNCTION("""COMPUTED_VALUE"""),43965)</f>
        <v>43965</v>
      </c>
      <c r="I382" s="12"/>
      <c r="J382" s="34"/>
      <c r="N382" s="12"/>
      <c r="O382" s="12"/>
    </row>
    <row r="383" ht="12.75" spans="1:15">
      <c r="A383" s="12" t="str">
        <f>IFERROR(__xludf.DUMMYFUNCTION("""COMPUTED_VALUE"""),"XPML11")</f>
        <v>XPML11</v>
      </c>
      <c r="B383" s="12">
        <f>IFERROR(__xludf.DUMMYFUNCTION("""COMPUTED_VALUE"""),10)</f>
        <v>10</v>
      </c>
      <c r="C383" s="26">
        <f>IFERROR(__xludf.DUMMYFUNCTION("""COMPUTED_VALUE"""),825.24)</f>
        <v>825.24</v>
      </c>
      <c r="D383" s="27">
        <f>IFERROR(__xludf.DUMMYFUNCTION("""COMPUTED_VALUE"""),43965)</f>
        <v>43965</v>
      </c>
      <c r="I383" s="12"/>
      <c r="J383" s="34"/>
      <c r="N383" s="12"/>
      <c r="O383" s="12"/>
    </row>
    <row r="384" ht="12.75" spans="1:15">
      <c r="A384" s="12" t="str">
        <f>IFERROR(__xludf.DUMMYFUNCTION("""COMPUTED_VALUE"""),"MGFF11")</f>
        <v>MGFF11</v>
      </c>
      <c r="B384" s="12">
        <f>IFERROR(__xludf.DUMMYFUNCTION("""COMPUTED_VALUE"""),27)</f>
        <v>27</v>
      </c>
      <c r="C384" s="26">
        <f>IFERROR(__xludf.DUMMYFUNCTION("""COMPUTED_VALUE"""),2347.38)</f>
        <v>2347.38</v>
      </c>
      <c r="D384" s="27">
        <f>IFERROR(__xludf.DUMMYFUNCTION("""COMPUTED_VALUE"""),43965)</f>
        <v>43965</v>
      </c>
      <c r="I384" s="12"/>
      <c r="J384" s="34"/>
      <c r="N384" s="12"/>
      <c r="O384" s="12"/>
    </row>
    <row r="385" ht="12.75" spans="1:15">
      <c r="A385" s="12" t="str">
        <f>IFERROR(__xludf.DUMMYFUNCTION("""COMPUTED_VALUE"""),"IRDM11")</f>
        <v>IRDM11</v>
      </c>
      <c r="B385" s="12">
        <f>IFERROR(__xludf.DUMMYFUNCTION("""COMPUTED_VALUE"""),20)</f>
        <v>20</v>
      </c>
      <c r="C385" s="26">
        <f>IFERROR(__xludf.DUMMYFUNCTION("""COMPUTED_VALUE"""),1990.19)</f>
        <v>1990.19</v>
      </c>
      <c r="D385" s="27">
        <f>IFERROR(__xludf.DUMMYFUNCTION("""COMPUTED_VALUE"""),43929)</f>
        <v>43929</v>
      </c>
      <c r="I385" s="12"/>
      <c r="J385" s="34"/>
      <c r="N385" s="12"/>
      <c r="O385" s="12"/>
    </row>
    <row r="386" ht="12.75" spans="1:15">
      <c r="A386" s="12" t="str">
        <f>IFERROR(__xludf.DUMMYFUNCTION("""COMPUTED_VALUE"""),"MGFF11")</f>
        <v>MGFF11</v>
      </c>
      <c r="B386" s="12">
        <f>IFERROR(__xludf.DUMMYFUNCTION("""COMPUTED_VALUE"""),15)</f>
        <v>15</v>
      </c>
      <c r="C386" s="26">
        <f>IFERROR(__xludf.DUMMYFUNCTION("""COMPUTED_VALUE"""),1369.31631061)</f>
        <v>1369.31631061</v>
      </c>
      <c r="D386" s="27">
        <f>IFERROR(__xludf.DUMMYFUNCTION("""COMPUTED_VALUE"""),43934)</f>
        <v>43934</v>
      </c>
      <c r="I386" s="12"/>
      <c r="J386" s="34"/>
      <c r="N386" s="12"/>
      <c r="O386" s="12"/>
    </row>
    <row r="387" ht="12.75" spans="1:15">
      <c r="A387" s="12" t="str">
        <f>IFERROR(__xludf.DUMMYFUNCTION("""COMPUTED_VALUE"""),"SAAG11")</f>
        <v>SAAG11</v>
      </c>
      <c r="B387" s="12">
        <f>IFERROR(__xludf.DUMMYFUNCTION("""COMPUTED_VALUE"""),5)</f>
        <v>5</v>
      </c>
      <c r="C387" s="26">
        <f>IFERROR(__xludf.DUMMYFUNCTION("""COMPUTED_VALUE"""),564.125029855)</f>
        <v>564.125029855</v>
      </c>
      <c r="D387" s="27">
        <f>IFERROR(__xludf.DUMMYFUNCTION("""COMPUTED_VALUE"""),43934)</f>
        <v>43934</v>
      </c>
      <c r="I387" s="12"/>
      <c r="J387" s="34"/>
      <c r="N387" s="12"/>
      <c r="O387" s="12"/>
    </row>
    <row r="388" ht="12.75" spans="1:15">
      <c r="A388" s="12" t="str">
        <f>IFERROR(__xludf.DUMMYFUNCTION("""COMPUTED_VALUE"""),"SAAG11")</f>
        <v>SAAG11</v>
      </c>
      <c r="B388" s="12">
        <f>IFERROR(__xludf.DUMMYFUNCTION("""COMPUTED_VALUE"""),10)</f>
        <v>10</v>
      </c>
      <c r="C388" s="26">
        <f>IFERROR(__xludf.DUMMYFUNCTION("""COMPUTED_VALUE"""),1130.03)</f>
        <v>1130.03</v>
      </c>
      <c r="D388" s="27">
        <f>IFERROR(__xludf.DUMMYFUNCTION("""COMPUTED_VALUE"""),43934)</f>
        <v>43934</v>
      </c>
      <c r="I388" s="12"/>
      <c r="J388" s="34"/>
      <c r="N388" s="12"/>
      <c r="O388" s="12"/>
    </row>
    <row r="389" ht="12.75" spans="1:15">
      <c r="A389" s="12" t="str">
        <f>IFERROR(__xludf.DUMMYFUNCTION("""COMPUTED_VALUE"""),"HGCR11")</f>
        <v>HGCR11</v>
      </c>
      <c r="B389" s="12">
        <f>IFERROR(__xludf.DUMMYFUNCTION("""COMPUTED_VALUE"""),10)</f>
        <v>10</v>
      </c>
      <c r="C389" s="26">
        <f>IFERROR(__xludf.DUMMYFUNCTION("""COMPUTED_VALUE"""),961.594261369999)</f>
        <v>961.594261369999</v>
      </c>
      <c r="D389" s="27">
        <f>IFERROR(__xludf.DUMMYFUNCTION("""COMPUTED_VALUE"""),43935)</f>
        <v>43935</v>
      </c>
      <c r="I389" s="12"/>
      <c r="J389" s="34"/>
      <c r="N389" s="12"/>
      <c r="O389" s="12"/>
    </row>
    <row r="390" ht="12.75" spans="1:15">
      <c r="A390" s="12" t="str">
        <f>IFERROR(__xludf.DUMMYFUNCTION("""COMPUTED_VALUE"""),"HFOF11")</f>
        <v>HFOF11</v>
      </c>
      <c r="B390" s="12">
        <f>IFERROR(__xludf.DUMMYFUNCTION("""COMPUTED_VALUE"""),10)</f>
        <v>10</v>
      </c>
      <c r="C390" s="26">
        <f>IFERROR(__xludf.DUMMYFUNCTION("""COMPUTED_VALUE"""),998.004267729999)</f>
        <v>998.004267729999</v>
      </c>
      <c r="D390" s="27">
        <f>IFERROR(__xludf.DUMMYFUNCTION("""COMPUTED_VALUE"""),43935)</f>
        <v>43935</v>
      </c>
      <c r="I390" s="12"/>
      <c r="J390" s="34"/>
      <c r="N390" s="12"/>
      <c r="O390" s="12"/>
    </row>
    <row r="391" ht="12.75" spans="1:15">
      <c r="A391" s="12" t="str">
        <f>IFERROR(__xludf.DUMMYFUNCTION("""COMPUTED_VALUE"""),"LVBI11")</f>
        <v>LVBI11</v>
      </c>
      <c r="B391" s="12">
        <f>IFERROR(__xludf.DUMMYFUNCTION("""COMPUTED_VALUE"""),10)</f>
        <v>10</v>
      </c>
      <c r="C391" s="26">
        <f>IFERROR(__xludf.DUMMYFUNCTION("""COMPUTED_VALUE"""),1073.72)</f>
        <v>1073.72</v>
      </c>
      <c r="D391" s="27">
        <f>IFERROR(__xludf.DUMMYFUNCTION("""COMPUTED_VALUE"""),43935)</f>
        <v>43935</v>
      </c>
      <c r="I391" s="12"/>
      <c r="J391" s="34"/>
      <c r="N391" s="12"/>
      <c r="O391" s="12"/>
    </row>
    <row r="392" ht="12.75" spans="1:15">
      <c r="A392" s="12" t="str">
        <f>IFERROR(__xludf.DUMMYFUNCTION("""COMPUTED_VALUE"""),"RBVA11")</f>
        <v>RBVA11</v>
      </c>
      <c r="B392" s="12">
        <f>IFERROR(__xludf.DUMMYFUNCTION("""COMPUTED_VALUE"""),5)</f>
        <v>5</v>
      </c>
      <c r="C392" s="26">
        <f>IFERROR(__xludf.DUMMYFUNCTION("""COMPUTED_VALUE"""),579.67930455)</f>
        <v>579.67930455</v>
      </c>
      <c r="D392" s="27">
        <f>IFERROR(__xludf.DUMMYFUNCTION("""COMPUTED_VALUE"""),43945)</f>
        <v>43945</v>
      </c>
      <c r="I392" s="12"/>
      <c r="J392" s="34"/>
      <c r="N392" s="12"/>
      <c r="O392" s="12"/>
    </row>
    <row r="393" ht="12.75" spans="1:15">
      <c r="A393" s="12" t="str">
        <f>IFERROR(__xludf.DUMMYFUNCTION("""COMPUTED_VALUE"""),"LVBI11")</f>
        <v>LVBI11</v>
      </c>
      <c r="B393" s="12">
        <f>IFERROR(__xludf.DUMMYFUNCTION("""COMPUTED_VALUE"""),5)</f>
        <v>5</v>
      </c>
      <c r="C393" s="26">
        <f>IFERROR(__xludf.DUMMYFUNCTION("""COMPUTED_VALUE"""),559.477890958)</f>
        <v>559.477890958</v>
      </c>
      <c r="D393" s="27">
        <f>IFERROR(__xludf.DUMMYFUNCTION("""COMPUTED_VALUE"""),43945)</f>
        <v>43945</v>
      </c>
      <c r="I393" s="12"/>
      <c r="J393" s="34"/>
      <c r="N393" s="12"/>
      <c r="O393" s="12"/>
    </row>
    <row r="394" ht="12.75" spans="1:15">
      <c r="A394" s="12" t="str">
        <f>IFERROR(__xludf.DUMMYFUNCTION("""COMPUTED_VALUE"""),"XPML11")</f>
        <v>XPML11</v>
      </c>
      <c r="B394" s="12">
        <f>IFERROR(__xludf.DUMMYFUNCTION("""COMPUTED_VALUE"""),4)</f>
        <v>4</v>
      </c>
      <c r="C394" s="26">
        <f>IFERROR(__xludf.DUMMYFUNCTION("""COMPUTED_VALUE"""),379.71435204)</f>
        <v>379.71435204</v>
      </c>
      <c r="D394" s="27">
        <f>IFERROR(__xludf.DUMMYFUNCTION("""COMPUTED_VALUE"""),43945)</f>
        <v>43945</v>
      </c>
      <c r="I394" s="12"/>
      <c r="J394" s="34"/>
      <c r="N394" s="12"/>
      <c r="O394" s="12"/>
    </row>
    <row r="395" ht="12.75" spans="1:15">
      <c r="A395" s="12" t="str">
        <f>IFERROR(__xludf.DUMMYFUNCTION("""COMPUTED_VALUE"""),"XPML11")</f>
        <v>XPML11</v>
      </c>
      <c r="B395" s="12">
        <f>IFERROR(__xludf.DUMMYFUNCTION("""COMPUTED_VALUE"""),15)</f>
        <v>15</v>
      </c>
      <c r="C395" s="26">
        <f>IFERROR(__xludf.DUMMYFUNCTION("""COMPUTED_VALUE"""),1418.979959395)</f>
        <v>1418.979959395</v>
      </c>
      <c r="D395" s="27">
        <f>IFERROR(__xludf.DUMMYFUNCTION("""COMPUTED_VALUE"""),43945)</f>
        <v>43945</v>
      </c>
      <c r="I395" s="12"/>
      <c r="J395" s="34"/>
      <c r="N395" s="12"/>
      <c r="O395" s="12"/>
    </row>
    <row r="396" ht="12.75" spans="1:15">
      <c r="A396" s="12" t="str">
        <f>IFERROR(__xludf.DUMMYFUNCTION("""COMPUTED_VALUE"""),"HGRE11")</f>
        <v>HGRE11</v>
      </c>
      <c r="B396" s="12">
        <f>IFERROR(__xludf.DUMMYFUNCTION("""COMPUTED_VALUE"""),10)</f>
        <v>10</v>
      </c>
      <c r="C396" s="26">
        <f>IFERROR(__xludf.DUMMYFUNCTION("""COMPUTED_VALUE"""),1399.52461258999)</f>
        <v>1399.52461258999</v>
      </c>
      <c r="D396" s="27">
        <f>IFERROR(__xludf.DUMMYFUNCTION("""COMPUTED_VALUE"""),43948)</f>
        <v>43948</v>
      </c>
      <c r="I396" s="12"/>
      <c r="J396" s="34"/>
      <c r="N396" s="12"/>
      <c r="O396" s="12"/>
    </row>
    <row r="397" ht="12.75" spans="1:15">
      <c r="A397" s="12" t="str">
        <f>IFERROR(__xludf.DUMMYFUNCTION("""COMPUTED_VALUE"""),"XPML11")</f>
        <v>XPML11</v>
      </c>
      <c r="B397" s="12">
        <f>IFERROR(__xludf.DUMMYFUNCTION("""COMPUTED_VALUE"""),10)</f>
        <v>10</v>
      </c>
      <c r="C397" s="26">
        <f>IFERROR(__xludf.DUMMYFUNCTION("""COMPUTED_VALUE"""),959.2936291)</f>
        <v>959.2936291</v>
      </c>
      <c r="D397" s="27">
        <f>IFERROR(__xludf.DUMMYFUNCTION("""COMPUTED_VALUE"""),43948)</f>
        <v>43948</v>
      </c>
      <c r="I397" s="12"/>
      <c r="J397" s="34"/>
      <c r="N397" s="12"/>
      <c r="O397" s="12"/>
    </row>
    <row r="398" ht="12.75" spans="1:15">
      <c r="A398" s="12" t="str">
        <f>IFERROR(__xludf.DUMMYFUNCTION("""COMPUTED_VALUE"""),"XPML11")</f>
        <v>XPML11</v>
      </c>
      <c r="B398" s="12">
        <f>IFERROR(__xludf.DUMMYFUNCTION("""COMPUTED_VALUE"""),5)</f>
        <v>5</v>
      </c>
      <c r="C398" s="26">
        <f>IFERROR(__xludf.DUMMYFUNCTION("""COMPUTED_VALUE"""),474.96)</f>
        <v>474.96</v>
      </c>
      <c r="D398" s="27">
        <f>IFERROR(__xludf.DUMMYFUNCTION("""COMPUTED_VALUE"""),43949)</f>
        <v>43949</v>
      </c>
      <c r="I398" s="12"/>
      <c r="J398" s="34"/>
      <c r="N398" s="12"/>
      <c r="O398" s="12"/>
    </row>
    <row r="399" ht="12.75" spans="1:15">
      <c r="A399" s="12" t="str">
        <f>IFERROR(__xludf.DUMMYFUNCTION("""COMPUTED_VALUE"""),"RBVA11")</f>
        <v>RBVA11</v>
      </c>
      <c r="B399" s="12">
        <f>IFERROR(__xludf.DUMMYFUNCTION("""COMPUTED_VALUE"""),229)</f>
        <v>229</v>
      </c>
      <c r="C399" s="26">
        <f>IFERROR(__xludf.DUMMYFUNCTION("""COMPUTED_VALUE"""),32959.97)</f>
        <v>32959.97</v>
      </c>
      <c r="D399" s="27">
        <f>IFERROR(__xludf.DUMMYFUNCTION("""COMPUTED_VALUE"""),43943)</f>
        <v>43943</v>
      </c>
      <c r="I399" s="12"/>
      <c r="J399" s="34"/>
      <c r="N399" s="12"/>
      <c r="O399" s="12"/>
    </row>
    <row r="400" ht="12.75" spans="1:15">
      <c r="A400" s="12" t="str">
        <f>IFERROR(__xludf.DUMMYFUNCTION("""COMPUTED_VALUE"""),"HFOF11")</f>
        <v>HFOF11</v>
      </c>
      <c r="B400" s="12">
        <f>IFERROR(__xludf.DUMMYFUNCTION("""COMPUTED_VALUE"""),20)</f>
        <v>20</v>
      </c>
      <c r="C400" s="26">
        <f>IFERROR(__xludf.DUMMYFUNCTION("""COMPUTED_VALUE"""),2305.51358951999)</f>
        <v>2305.51358951999</v>
      </c>
      <c r="D400" s="27">
        <f>IFERROR(__xludf.DUMMYFUNCTION("""COMPUTED_VALUE"""),43892)</f>
        <v>43892</v>
      </c>
      <c r="I400" s="12"/>
      <c r="J400" s="34"/>
      <c r="N400" s="12"/>
      <c r="O400" s="12"/>
    </row>
    <row r="401" ht="12.75" spans="1:15">
      <c r="A401" s="12" t="str">
        <f>IFERROR(__xludf.DUMMYFUNCTION("""COMPUTED_VALUE"""),"HGCR11")</f>
        <v>HGCR11</v>
      </c>
      <c r="B401" s="12">
        <f>IFERROR(__xludf.DUMMYFUNCTION("""COMPUTED_VALUE"""),30)</f>
        <v>30</v>
      </c>
      <c r="C401" s="26">
        <f>IFERROR(__xludf.DUMMYFUNCTION("""COMPUTED_VALUE"""),3442.36601336999)</f>
        <v>3442.36601336999</v>
      </c>
      <c r="D401" s="27">
        <f>IFERROR(__xludf.DUMMYFUNCTION("""COMPUTED_VALUE"""),43892)</f>
        <v>43892</v>
      </c>
      <c r="I401" s="12"/>
      <c r="J401" s="34"/>
      <c r="N401" s="12"/>
      <c r="O401" s="12"/>
    </row>
    <row r="402" ht="12.75" spans="1:15">
      <c r="A402" s="12" t="str">
        <f>IFERROR(__xludf.DUMMYFUNCTION("""COMPUTED_VALUE"""),"IRDM11")</f>
        <v>IRDM11</v>
      </c>
      <c r="B402" s="12">
        <f>IFERROR(__xludf.DUMMYFUNCTION("""COMPUTED_VALUE"""),20)</f>
        <v>20</v>
      </c>
      <c r="C402" s="26">
        <f>IFERROR(__xludf.DUMMYFUNCTION("""COMPUTED_VALUE"""),2452.75405479999)</f>
        <v>2452.75405479999</v>
      </c>
      <c r="D402" s="27">
        <f>IFERROR(__xludf.DUMMYFUNCTION("""COMPUTED_VALUE"""),43892)</f>
        <v>43892</v>
      </c>
      <c r="I402" s="12"/>
      <c r="J402" s="34"/>
      <c r="N402" s="12"/>
      <c r="O402" s="12"/>
    </row>
    <row r="403" ht="12.75" spans="1:15">
      <c r="A403" s="12" t="str">
        <f>IFERROR(__xludf.DUMMYFUNCTION("""COMPUTED_VALUE"""),"LVBI11")</f>
        <v>LVBI11</v>
      </c>
      <c r="B403" s="12">
        <f>IFERROR(__xludf.DUMMYFUNCTION("""COMPUTED_VALUE"""),30)</f>
        <v>30</v>
      </c>
      <c r="C403" s="26">
        <f>IFERROR(__xludf.DUMMYFUNCTION("""COMPUTED_VALUE"""),3754.1616997)</f>
        <v>3754.1616997</v>
      </c>
      <c r="D403" s="27">
        <f>IFERROR(__xludf.DUMMYFUNCTION("""COMPUTED_VALUE"""),43892)</f>
        <v>43892</v>
      </c>
      <c r="I403" s="12"/>
      <c r="J403" s="34"/>
      <c r="N403" s="12"/>
      <c r="O403" s="12"/>
    </row>
    <row r="404" ht="12.75" spans="1:15">
      <c r="A404" s="12" t="str">
        <f>IFERROR(__xludf.DUMMYFUNCTION("""COMPUTED_VALUE"""),"MGFF11")</f>
        <v>MGFF11</v>
      </c>
      <c r="B404" s="12">
        <f>IFERROR(__xludf.DUMMYFUNCTION("""COMPUTED_VALUE"""),30)</f>
        <v>30</v>
      </c>
      <c r="C404" s="26">
        <f>IFERROR(__xludf.DUMMYFUNCTION("""COMPUTED_VALUE"""),3198.9891302)</f>
        <v>3198.9891302</v>
      </c>
      <c r="D404" s="27">
        <f>IFERROR(__xludf.DUMMYFUNCTION("""COMPUTED_VALUE"""),43892)</f>
        <v>43892</v>
      </c>
      <c r="I404" s="12"/>
      <c r="J404" s="34"/>
      <c r="N404" s="12"/>
      <c r="O404" s="12"/>
    </row>
    <row r="405" ht="12.75" spans="1:15">
      <c r="A405" s="12" t="str">
        <f>IFERROR(__xludf.DUMMYFUNCTION("""COMPUTED_VALUE"""),"SAAG11")</f>
        <v>SAAG11</v>
      </c>
      <c r="B405" s="12">
        <f>IFERROR(__xludf.DUMMYFUNCTION("""COMPUTED_VALUE"""),30)</f>
        <v>30</v>
      </c>
      <c r="C405" s="26">
        <f>IFERROR(__xludf.DUMMYFUNCTION("""COMPUTED_VALUE"""),3847.18726539999)</f>
        <v>3847.18726539999</v>
      </c>
      <c r="D405" s="27">
        <f>IFERROR(__xludf.DUMMYFUNCTION("""COMPUTED_VALUE"""),43892)</f>
        <v>43892</v>
      </c>
      <c r="I405" s="12"/>
      <c r="J405" s="34"/>
      <c r="N405" s="12"/>
      <c r="O405" s="12"/>
    </row>
    <row r="406" ht="12.75" spans="1:15">
      <c r="A406" s="12" t="str">
        <f>IFERROR(__xludf.DUMMYFUNCTION("""COMPUTED_VALUE"""),"HFOF11")</f>
        <v>HFOF11</v>
      </c>
      <c r="B406" s="12">
        <f>IFERROR(__xludf.DUMMYFUNCTION("""COMPUTED_VALUE"""),20)</f>
        <v>20</v>
      </c>
      <c r="C406" s="26">
        <f>IFERROR(__xludf.DUMMYFUNCTION("""COMPUTED_VALUE"""),2311.7)</f>
        <v>2311.7</v>
      </c>
      <c r="D406" s="27">
        <f>IFERROR(__xludf.DUMMYFUNCTION("""COMPUTED_VALUE"""),43894)</f>
        <v>43894</v>
      </c>
      <c r="I406" s="12"/>
      <c r="J406" s="34"/>
      <c r="N406" s="12"/>
      <c r="O406" s="12"/>
    </row>
    <row r="407" ht="12.75" spans="1:15">
      <c r="A407" s="12" t="str">
        <f>IFERROR(__xludf.DUMMYFUNCTION("""COMPUTED_VALUE"""),"HGBS11")</f>
        <v>HGBS11</v>
      </c>
      <c r="B407" s="12">
        <f>IFERROR(__xludf.DUMMYFUNCTION("""COMPUTED_VALUE"""),20)</f>
        <v>20</v>
      </c>
      <c r="C407" s="26">
        <f>IFERROR(__xludf.DUMMYFUNCTION("""COMPUTED_VALUE"""),5626.92636748)</f>
        <v>5626.92636748</v>
      </c>
      <c r="D407" s="27">
        <f>IFERROR(__xludf.DUMMYFUNCTION("""COMPUTED_VALUE"""),43894)</f>
        <v>43894</v>
      </c>
      <c r="I407" s="12"/>
      <c r="J407" s="34"/>
      <c r="N407" s="12"/>
      <c r="O407" s="12"/>
    </row>
    <row r="408" ht="12.75" spans="1:15">
      <c r="A408" s="12" t="str">
        <f>IFERROR(__xludf.DUMMYFUNCTION("""COMPUTED_VALUE"""),"HGCR11")</f>
        <v>HGCR11</v>
      </c>
      <c r="B408" s="12">
        <f>IFERROR(__xludf.DUMMYFUNCTION("""COMPUTED_VALUE"""),30)</f>
        <v>30</v>
      </c>
      <c r="C408" s="26">
        <f>IFERROR(__xludf.DUMMYFUNCTION("""COMPUTED_VALUE"""),3437.55469385)</f>
        <v>3437.55469385</v>
      </c>
      <c r="D408" s="27">
        <f>IFERROR(__xludf.DUMMYFUNCTION("""COMPUTED_VALUE"""),43894)</f>
        <v>43894</v>
      </c>
      <c r="I408" s="12"/>
      <c r="J408" s="34"/>
      <c r="N408" s="12"/>
      <c r="O408" s="12"/>
    </row>
    <row r="409" ht="12.75" spans="1:15">
      <c r="A409" s="12" t="str">
        <f>IFERROR(__xludf.DUMMYFUNCTION("""COMPUTED_VALUE"""),"IRDM11")</f>
        <v>IRDM11</v>
      </c>
      <c r="B409" s="12">
        <f>IFERROR(__xludf.DUMMYFUNCTION("""COMPUTED_VALUE"""),30)</f>
        <v>30</v>
      </c>
      <c r="C409" s="26">
        <f>IFERROR(__xludf.DUMMYFUNCTION("""COMPUTED_VALUE"""),3780.85903953)</f>
        <v>3780.85903953</v>
      </c>
      <c r="D409" s="27">
        <f>IFERROR(__xludf.DUMMYFUNCTION("""COMPUTED_VALUE"""),43894)</f>
        <v>43894</v>
      </c>
      <c r="I409" s="12"/>
      <c r="J409" s="34"/>
      <c r="N409" s="12"/>
      <c r="O409" s="12"/>
    </row>
    <row r="410" ht="12.75" spans="1:15">
      <c r="A410" s="12" t="str">
        <f>IFERROR(__xludf.DUMMYFUNCTION("""COMPUTED_VALUE"""),"MGFF11")</f>
        <v>MGFF11</v>
      </c>
      <c r="B410" s="12">
        <f>IFERROR(__xludf.DUMMYFUNCTION("""COMPUTED_VALUE"""),20)</f>
        <v>20</v>
      </c>
      <c r="C410" s="26">
        <f>IFERROR(__xludf.DUMMYFUNCTION("""COMPUTED_VALUE"""),2184.27027164)</f>
        <v>2184.27027164</v>
      </c>
      <c r="D410" s="27">
        <f>IFERROR(__xludf.DUMMYFUNCTION("""COMPUTED_VALUE"""),43894)</f>
        <v>43894</v>
      </c>
      <c r="I410" s="12"/>
      <c r="J410" s="34"/>
      <c r="N410" s="12"/>
      <c r="O410" s="12"/>
    </row>
    <row r="411" ht="12.75" spans="1:15">
      <c r="A411" s="12" t="str">
        <f>IFERROR(__xludf.DUMMYFUNCTION("""COMPUTED_VALUE"""),"SAAG11")</f>
        <v>SAAG11</v>
      </c>
      <c r="B411" s="12">
        <f>IFERROR(__xludf.DUMMYFUNCTION("""COMPUTED_VALUE"""),10)</f>
        <v>10</v>
      </c>
      <c r="C411" s="26">
        <f>IFERROR(__xludf.DUMMYFUNCTION("""COMPUTED_VALUE"""),1325.4042425)</f>
        <v>1325.4042425</v>
      </c>
      <c r="D411" s="27">
        <f>IFERROR(__xludf.DUMMYFUNCTION("""COMPUTED_VALUE"""),43894)</f>
        <v>43894</v>
      </c>
      <c r="I411" s="12"/>
      <c r="J411" s="34"/>
      <c r="N411" s="12"/>
      <c r="O411" s="12"/>
    </row>
    <row r="412" ht="12.75" spans="1:15">
      <c r="A412" s="12" t="str">
        <f>IFERROR(__xludf.DUMMYFUNCTION("""COMPUTED_VALUE"""),"SAAG11")</f>
        <v>SAAG11</v>
      </c>
      <c r="B412" s="12">
        <f>IFERROR(__xludf.DUMMYFUNCTION("""COMPUTED_VALUE"""),10)</f>
        <v>10</v>
      </c>
      <c r="C412" s="26">
        <f>IFERROR(__xludf.DUMMYFUNCTION("""COMPUTED_VALUE"""),1325.29)</f>
        <v>1325.29</v>
      </c>
      <c r="D412" s="27">
        <f>IFERROR(__xludf.DUMMYFUNCTION("""COMPUTED_VALUE"""),43894)</f>
        <v>43894</v>
      </c>
      <c r="I412" s="12"/>
      <c r="J412" s="34"/>
      <c r="N412" s="12"/>
      <c r="O412" s="12"/>
    </row>
    <row r="413" ht="12.75" spans="1:15">
      <c r="A413" s="12" t="str">
        <f>IFERROR(__xludf.DUMMYFUNCTION("""COMPUTED_VALUE"""),"IRDM11")</f>
        <v>IRDM11</v>
      </c>
      <c r="B413" s="12">
        <f>IFERROR(__xludf.DUMMYFUNCTION("""COMPUTED_VALUE"""),30)</f>
        <v>30</v>
      </c>
      <c r="C413" s="26">
        <f>IFERROR(__xludf.DUMMYFUNCTION("""COMPUTED_VALUE"""),3745.14922559999)</f>
        <v>3745.14922559999</v>
      </c>
      <c r="D413" s="27">
        <f>IFERROR(__xludf.DUMMYFUNCTION("""COMPUTED_VALUE"""),43896)</f>
        <v>43896</v>
      </c>
      <c r="I413" s="12"/>
      <c r="J413" s="34"/>
      <c r="N413" s="12"/>
      <c r="O413" s="12"/>
    </row>
    <row r="414" ht="12.75" spans="1:15">
      <c r="A414" s="12" t="str">
        <f>IFERROR(__xludf.DUMMYFUNCTION("""COMPUTED_VALUE"""),"SAAG11")</f>
        <v>SAAG11</v>
      </c>
      <c r="B414" s="12">
        <f>IFERROR(__xludf.DUMMYFUNCTION("""COMPUTED_VALUE"""),15)</f>
        <v>15</v>
      </c>
      <c r="C414" s="26">
        <f>IFERROR(__xludf.DUMMYFUNCTION("""COMPUTED_VALUE"""),1943.09399325)</f>
        <v>1943.09399325</v>
      </c>
      <c r="D414" s="27">
        <f>IFERROR(__xludf.DUMMYFUNCTION("""COMPUTED_VALUE"""),43896)</f>
        <v>43896</v>
      </c>
      <c r="I414" s="12"/>
      <c r="J414" s="34"/>
      <c r="N414" s="12"/>
      <c r="O414" s="12"/>
    </row>
    <row r="415" ht="12.75" spans="1:15">
      <c r="A415" s="12" t="str">
        <f>IFERROR(__xludf.DUMMYFUNCTION("""COMPUTED_VALUE"""),"HGRE11")</f>
        <v>HGRE11</v>
      </c>
      <c r="B415" s="12">
        <f>IFERROR(__xludf.DUMMYFUNCTION("""COMPUTED_VALUE"""),10)</f>
        <v>10</v>
      </c>
      <c r="C415" s="26">
        <f>IFERROR(__xludf.DUMMYFUNCTION("""COMPUTED_VALUE"""),1715.5314535)</f>
        <v>1715.5314535</v>
      </c>
      <c r="D415" s="27">
        <f>IFERROR(__xludf.DUMMYFUNCTION("""COMPUTED_VALUE"""),43899)</f>
        <v>43899</v>
      </c>
      <c r="I415" s="12"/>
      <c r="J415" s="34"/>
      <c r="N415" s="12"/>
      <c r="O415" s="12"/>
    </row>
    <row r="416" ht="12.75" spans="1:15">
      <c r="A416" s="12" t="str">
        <f>IFERROR(__xludf.DUMMYFUNCTION("""COMPUTED_VALUE"""),"IRDM11")</f>
        <v>IRDM11</v>
      </c>
      <c r="B416" s="12">
        <f>IFERROR(__xludf.DUMMYFUNCTION("""COMPUTED_VALUE"""),30)</f>
        <v>30</v>
      </c>
      <c r="C416" s="26">
        <f>IFERROR(__xludf.DUMMYFUNCTION("""COMPUTED_VALUE"""),3652.42374236999)</f>
        <v>3652.42374236999</v>
      </c>
      <c r="D416" s="27">
        <f>IFERROR(__xludf.DUMMYFUNCTION("""COMPUTED_VALUE"""),43899)</f>
        <v>43899</v>
      </c>
      <c r="I416" s="12"/>
      <c r="J416" s="34"/>
      <c r="N416" s="12"/>
      <c r="O416" s="12"/>
    </row>
    <row r="417" ht="12.75" spans="1:15">
      <c r="A417" s="12" t="str">
        <f>IFERROR(__xludf.DUMMYFUNCTION("""COMPUTED_VALUE"""),"MGFF11")</f>
        <v>MGFF11</v>
      </c>
      <c r="B417" s="12">
        <f>IFERROR(__xludf.DUMMYFUNCTION("""COMPUTED_VALUE"""),20)</f>
        <v>20</v>
      </c>
      <c r="C417" s="26">
        <f>IFERROR(__xludf.DUMMYFUNCTION("""COMPUTED_VALUE"""),2046.03228045999)</f>
        <v>2046.03228045999</v>
      </c>
      <c r="D417" s="27">
        <f>IFERROR(__xludf.DUMMYFUNCTION("""COMPUTED_VALUE"""),43899)</f>
        <v>43899</v>
      </c>
      <c r="I417" s="12"/>
      <c r="J417" s="34"/>
      <c r="N417" s="12"/>
      <c r="O417" s="12"/>
    </row>
    <row r="418" ht="12.75" spans="1:15">
      <c r="A418" s="12" t="str">
        <f>IFERROR(__xludf.DUMMYFUNCTION("""COMPUTED_VALUE"""),"SAAG11")</f>
        <v>SAAG11</v>
      </c>
      <c r="B418" s="12">
        <f>IFERROR(__xludf.DUMMYFUNCTION("""COMPUTED_VALUE"""),30)</f>
        <v>30</v>
      </c>
      <c r="C418" s="26">
        <f>IFERROR(__xludf.DUMMYFUNCTION("""COMPUTED_VALUE"""),3736.1467515)</f>
        <v>3736.1467515</v>
      </c>
      <c r="D418" s="27">
        <f>IFERROR(__xludf.DUMMYFUNCTION("""COMPUTED_VALUE"""),43899)</f>
        <v>43899</v>
      </c>
      <c r="I418" s="12"/>
      <c r="J418" s="34"/>
      <c r="N418" s="12"/>
      <c r="O418" s="12"/>
    </row>
    <row r="419" ht="12.75" spans="1:15">
      <c r="A419" s="12" t="str">
        <f>IFERROR(__xludf.DUMMYFUNCTION("""COMPUTED_VALUE"""),"IRDM11")</f>
        <v>IRDM11</v>
      </c>
      <c r="B419" s="12">
        <f>IFERROR(__xludf.DUMMYFUNCTION("""COMPUTED_VALUE"""),30)</f>
        <v>30</v>
      </c>
      <c r="C419" s="26">
        <f>IFERROR(__xludf.DUMMYFUNCTION("""COMPUTED_VALUE"""),3662.61)</f>
        <v>3662.61</v>
      </c>
      <c r="D419" s="27">
        <f>IFERROR(__xludf.DUMMYFUNCTION("""COMPUTED_VALUE"""),43900)</f>
        <v>43900</v>
      </c>
      <c r="I419" s="12"/>
      <c r="J419" s="34"/>
      <c r="N419" s="12"/>
      <c r="O419" s="12"/>
    </row>
    <row r="420" ht="12.75" spans="1:15">
      <c r="A420" s="12" t="str">
        <f>IFERROR(__xludf.DUMMYFUNCTION("""COMPUTED_VALUE"""),"HGRE11")</f>
        <v>HGRE11</v>
      </c>
      <c r="B420" s="12">
        <f>IFERROR(__xludf.DUMMYFUNCTION("""COMPUTED_VALUE"""),10)</f>
        <v>10</v>
      </c>
      <c r="C420" s="26">
        <f>IFERROR(__xludf.DUMMYFUNCTION("""COMPUTED_VALUE"""),1691.5148559)</f>
        <v>1691.5148559</v>
      </c>
      <c r="D420" s="27">
        <f>IFERROR(__xludf.DUMMYFUNCTION("""COMPUTED_VALUE"""),43901)</f>
        <v>43901</v>
      </c>
      <c r="I420" s="12"/>
      <c r="J420" s="34"/>
      <c r="N420" s="12"/>
      <c r="O420" s="12"/>
    </row>
    <row r="421" ht="12.75" spans="1:15">
      <c r="A421" s="12" t="str">
        <f>IFERROR(__xludf.DUMMYFUNCTION("""COMPUTED_VALUE"""),"IRDM11")</f>
        <v>IRDM11</v>
      </c>
      <c r="B421" s="12">
        <f>IFERROR(__xludf.DUMMYFUNCTION("""COMPUTED_VALUE"""),30)</f>
        <v>30</v>
      </c>
      <c r="C421" s="26">
        <f>IFERROR(__xludf.DUMMYFUNCTION("""COMPUTED_VALUE"""),3645.82192802999)</f>
        <v>3645.82192802999</v>
      </c>
      <c r="D421" s="27">
        <f>IFERROR(__xludf.DUMMYFUNCTION("""COMPUTED_VALUE"""),43901)</f>
        <v>43901</v>
      </c>
      <c r="I421" s="12"/>
      <c r="J421" s="34"/>
      <c r="N421" s="12"/>
      <c r="O421" s="12"/>
    </row>
    <row r="422" ht="12.75" spans="1:15">
      <c r="A422" s="12" t="str">
        <f>IFERROR(__xludf.DUMMYFUNCTION("""COMPUTED_VALUE"""),"MGFF11")</f>
        <v>MGFF11</v>
      </c>
      <c r="B422" s="12">
        <f>IFERROR(__xludf.DUMMYFUNCTION("""COMPUTED_VALUE"""),30)</f>
        <v>30</v>
      </c>
      <c r="C422" s="26">
        <f>IFERROR(__xludf.DUMMYFUNCTION("""COMPUTED_VALUE"""),3111.95)</f>
        <v>3111.95</v>
      </c>
      <c r="D422" s="27">
        <f>IFERROR(__xludf.DUMMYFUNCTION("""COMPUTED_VALUE"""),43901)</f>
        <v>43901</v>
      </c>
      <c r="I422" s="12"/>
      <c r="J422" s="34"/>
      <c r="N422" s="12"/>
      <c r="O422" s="12"/>
    </row>
    <row r="423" ht="12.75" spans="1:15">
      <c r="A423" s="12" t="str">
        <f>IFERROR(__xludf.DUMMYFUNCTION("""COMPUTED_VALUE"""),"SAAG11")</f>
        <v>SAAG11</v>
      </c>
      <c r="B423" s="12">
        <f>IFERROR(__xludf.DUMMYFUNCTION("""COMPUTED_VALUE"""),30)</f>
        <v>30</v>
      </c>
      <c r="C423" s="26">
        <f>IFERROR(__xludf.DUMMYFUNCTION("""COMPUTED_VALUE"""),3691.134381)</f>
        <v>3691.134381</v>
      </c>
      <c r="D423" s="27">
        <f>IFERROR(__xludf.DUMMYFUNCTION("""COMPUTED_VALUE"""),43901)</f>
        <v>43901</v>
      </c>
      <c r="I423" s="12"/>
      <c r="J423" s="34"/>
      <c r="N423" s="12"/>
      <c r="O423" s="12"/>
    </row>
    <row r="424" ht="12.75" spans="1:15">
      <c r="A424" s="12" t="str">
        <f>IFERROR(__xludf.DUMMYFUNCTION("""COMPUTED_VALUE"""),"XPML11")</f>
        <v>XPML11</v>
      </c>
      <c r="B424" s="12">
        <f>IFERROR(__xludf.DUMMYFUNCTION("""COMPUTED_VALUE"""),26)</f>
        <v>26</v>
      </c>
      <c r="C424" s="26">
        <f>IFERROR(__xludf.DUMMYFUNCTION("""COMPUTED_VALUE"""),3084.287610166)</f>
        <v>3084.287610166</v>
      </c>
      <c r="D424" s="27">
        <f>IFERROR(__xludf.DUMMYFUNCTION("""COMPUTED_VALUE"""),43901)</f>
        <v>43901</v>
      </c>
      <c r="I424" s="12"/>
      <c r="J424" s="34"/>
      <c r="N424" s="12"/>
      <c r="O424" s="12"/>
    </row>
    <row r="425" ht="12.75" spans="1:15">
      <c r="A425" s="12" t="str">
        <f>IFERROR(__xludf.DUMMYFUNCTION("""COMPUTED_VALUE"""),"XPML11")</f>
        <v>XPML11</v>
      </c>
      <c r="B425" s="12">
        <f>IFERROR(__xludf.DUMMYFUNCTION("""COMPUTED_VALUE"""),4)</f>
        <v>4</v>
      </c>
      <c r="C425" s="26">
        <f>IFERROR(__xludf.DUMMYFUNCTION("""COMPUTED_VALUE"""),474.54041256)</f>
        <v>474.54041256</v>
      </c>
      <c r="D425" s="27">
        <f>IFERROR(__xludf.DUMMYFUNCTION("""COMPUTED_VALUE"""),43901)</f>
        <v>43901</v>
      </c>
      <c r="I425" s="12"/>
      <c r="J425" s="34"/>
      <c r="N425" s="12"/>
      <c r="O425" s="12"/>
    </row>
    <row r="426" ht="12.75" spans="1:15">
      <c r="A426" s="12" t="str">
        <f>IFERROR(__xludf.DUMMYFUNCTION("""COMPUTED_VALUE"""),"HGRE11")</f>
        <v>HGRE11</v>
      </c>
      <c r="B426" s="12">
        <f>IFERROR(__xludf.DUMMYFUNCTION("""COMPUTED_VALUE"""),30)</f>
        <v>30</v>
      </c>
      <c r="C426" s="26">
        <f>IFERROR(__xludf.DUMMYFUNCTION("""COMPUTED_VALUE"""),4697.94106785)</f>
        <v>4697.94106785</v>
      </c>
      <c r="D426" s="27">
        <f>IFERROR(__xludf.DUMMYFUNCTION("""COMPUTED_VALUE"""),43902)</f>
        <v>43902</v>
      </c>
      <c r="I426" s="12"/>
      <c r="J426" s="34"/>
      <c r="N426" s="12"/>
      <c r="O426" s="12"/>
    </row>
    <row r="427" ht="12.75" spans="1:15">
      <c r="A427" s="12" t="str">
        <f>IFERROR(__xludf.DUMMYFUNCTION("""COMPUTED_VALUE"""),"IRDM11")</f>
        <v>IRDM11</v>
      </c>
      <c r="B427" s="12">
        <f>IFERROR(__xludf.DUMMYFUNCTION("""COMPUTED_VALUE"""),30)</f>
        <v>30</v>
      </c>
      <c r="C427" s="26">
        <f>IFERROR(__xludf.DUMMYFUNCTION("""COMPUTED_VALUE"""),3281.51180945)</f>
        <v>3281.51180945</v>
      </c>
      <c r="D427" s="27">
        <f>IFERROR(__xludf.DUMMYFUNCTION("""COMPUTED_VALUE"""),43902)</f>
        <v>43902</v>
      </c>
      <c r="I427" s="12"/>
      <c r="J427" s="34"/>
      <c r="N427" s="12"/>
      <c r="O427" s="12"/>
    </row>
    <row r="428" ht="12.75" spans="1:15">
      <c r="A428" s="12" t="str">
        <f>IFERROR(__xludf.DUMMYFUNCTION("""COMPUTED_VALUE"""),"MGFF11")</f>
        <v>MGFF11</v>
      </c>
      <c r="B428" s="12">
        <f>IFERROR(__xludf.DUMMYFUNCTION("""COMPUTED_VALUE"""),30)</f>
        <v>30</v>
      </c>
      <c r="C428" s="26">
        <f>IFERROR(__xludf.DUMMYFUNCTION("""COMPUTED_VALUE"""),2806.46125944)</f>
        <v>2806.46125944</v>
      </c>
      <c r="D428" s="27">
        <f>IFERROR(__xludf.DUMMYFUNCTION("""COMPUTED_VALUE"""),43902)</f>
        <v>43902</v>
      </c>
      <c r="I428" s="12"/>
      <c r="J428" s="34"/>
      <c r="N428" s="12"/>
      <c r="O428" s="12"/>
    </row>
    <row r="429" ht="12.75" spans="1:15">
      <c r="A429" s="12" t="str">
        <f>IFERROR(__xludf.DUMMYFUNCTION("""COMPUTED_VALUE"""),"SAAG11")</f>
        <v>SAAG11</v>
      </c>
      <c r="B429" s="12">
        <f>IFERROR(__xludf.DUMMYFUNCTION("""COMPUTED_VALUE"""),30)</f>
        <v>30</v>
      </c>
      <c r="C429" s="26">
        <f>IFERROR(__xludf.DUMMYFUNCTION("""COMPUTED_VALUE"""),3496.67094044)</f>
        <v>3496.67094044</v>
      </c>
      <c r="D429" s="27">
        <f>IFERROR(__xludf.DUMMYFUNCTION("""COMPUTED_VALUE"""),43902)</f>
        <v>43902</v>
      </c>
      <c r="I429" s="12"/>
      <c r="J429" s="34"/>
      <c r="N429" s="12"/>
      <c r="O429" s="12"/>
    </row>
    <row r="430" ht="12.75" spans="1:15">
      <c r="A430" s="12" t="str">
        <f>IFERROR(__xludf.DUMMYFUNCTION("""COMPUTED_VALUE"""),"HFOF11")</f>
        <v>HFOF11</v>
      </c>
      <c r="B430" s="12">
        <f>IFERROR(__xludf.DUMMYFUNCTION("""COMPUTED_VALUE"""),31)</f>
        <v>31</v>
      </c>
      <c r="C430" s="26">
        <f>IFERROR(__xludf.DUMMYFUNCTION("""COMPUTED_VALUE"""),3501.75999999999)</f>
        <v>3501.75999999999</v>
      </c>
      <c r="D430" s="27">
        <f>IFERROR(__xludf.DUMMYFUNCTION("""COMPUTED_VALUE"""),43899)</f>
        <v>43899</v>
      </c>
      <c r="I430" s="12"/>
      <c r="J430" s="34"/>
      <c r="N430" s="12"/>
      <c r="O430" s="12"/>
    </row>
    <row r="431" ht="12.75" spans="1:15">
      <c r="A431" s="12" t="str">
        <f>IFERROR(__xludf.DUMMYFUNCTION("""COMPUTED_VALUE"""),"BBPO11")</f>
        <v>BBPO11</v>
      </c>
      <c r="B431" s="12">
        <f>IFERROR(__xludf.DUMMYFUNCTION("""COMPUTED_VALUE"""),10)</f>
        <v>10</v>
      </c>
      <c r="C431" s="26">
        <f>IFERROR(__xludf.DUMMYFUNCTION("""COMPUTED_VALUE"""),1594.4981906)</f>
        <v>1594.4981906</v>
      </c>
      <c r="D431" s="27">
        <f>IFERROR(__xludf.DUMMYFUNCTION("""COMPUTED_VALUE"""),43871)</f>
        <v>43871</v>
      </c>
      <c r="I431" s="12"/>
      <c r="J431" s="34"/>
      <c r="N431" s="12"/>
      <c r="O431" s="12"/>
    </row>
    <row r="432" ht="12.75" spans="1:15">
      <c r="A432" s="12" t="str">
        <f>IFERROR(__xludf.DUMMYFUNCTION("""COMPUTED_VALUE"""),"HGCR11")</f>
        <v>HGCR11</v>
      </c>
      <c r="B432" s="12">
        <f>IFERROR(__xludf.DUMMYFUNCTION("""COMPUTED_VALUE"""),15)</f>
        <v>15</v>
      </c>
      <c r="C432" s="26">
        <f>IFERROR(__xludf.DUMMYFUNCTION("""COMPUTED_VALUE"""),1709.02966664999)</f>
        <v>1709.02966664999</v>
      </c>
      <c r="D432" s="27">
        <f>IFERROR(__xludf.DUMMYFUNCTION("""COMPUTED_VALUE"""),43871)</f>
        <v>43871</v>
      </c>
      <c r="I432" s="12"/>
      <c r="J432" s="34"/>
      <c r="N432" s="12"/>
      <c r="O432" s="12"/>
    </row>
    <row r="433" ht="12.75" spans="1:15">
      <c r="A433" s="12" t="str">
        <f>IFERROR(__xludf.DUMMYFUNCTION("""COMPUTED_VALUE"""),"HGLG11")</f>
        <v>HGLG11</v>
      </c>
      <c r="B433" s="12">
        <f>IFERROR(__xludf.DUMMYFUNCTION("""COMPUTED_VALUE"""),15)</f>
        <v>15</v>
      </c>
      <c r="C433" s="26">
        <f>IFERROR(__xludf.DUMMYFUNCTION("""COMPUTED_VALUE"""),2739.992992335)</f>
        <v>2739.992992335</v>
      </c>
      <c r="D433" s="27">
        <f>IFERROR(__xludf.DUMMYFUNCTION("""COMPUTED_VALUE"""),43871)</f>
        <v>43871</v>
      </c>
      <c r="I433" s="12"/>
      <c r="J433" s="34"/>
      <c r="N433" s="12"/>
      <c r="O433" s="12"/>
    </row>
    <row r="434" ht="12.75" spans="1:15">
      <c r="A434" s="12" t="str">
        <f>IFERROR(__xludf.DUMMYFUNCTION("""COMPUTED_VALUE"""),"HGRE11")</f>
        <v>HGRE11</v>
      </c>
      <c r="B434" s="12">
        <f>IFERROR(__xludf.DUMMYFUNCTION("""COMPUTED_VALUE"""),15)</f>
        <v>15</v>
      </c>
      <c r="C434" s="26">
        <f>IFERROR(__xludf.DUMMYFUNCTION("""COMPUTED_VALUE"""),2845.33193930499)</f>
        <v>2845.33193930499</v>
      </c>
      <c r="D434" s="27">
        <f>IFERROR(__xludf.DUMMYFUNCTION("""COMPUTED_VALUE"""),43871)</f>
        <v>43871</v>
      </c>
      <c r="I434" s="12"/>
      <c r="J434" s="34"/>
      <c r="N434" s="12"/>
      <c r="O434" s="12"/>
    </row>
    <row r="435" ht="12.75" spans="1:15">
      <c r="A435" s="12" t="str">
        <f>IFERROR(__xludf.DUMMYFUNCTION("""COMPUTED_VALUE"""),"LVBI11")</f>
        <v>LVBI11</v>
      </c>
      <c r="B435" s="12">
        <f>IFERROR(__xludf.DUMMYFUNCTION("""COMPUTED_VALUE"""),10)</f>
        <v>10</v>
      </c>
      <c r="C435" s="26">
        <f>IFERROR(__xludf.DUMMYFUNCTION("""COMPUTED_VALUE"""),1275.4004975)</f>
        <v>1275.4004975</v>
      </c>
      <c r="D435" s="27">
        <f>IFERROR(__xludf.DUMMYFUNCTION("""COMPUTED_VALUE"""),43871)</f>
        <v>43871</v>
      </c>
      <c r="I435" s="12"/>
      <c r="J435" s="34"/>
      <c r="N435" s="12"/>
      <c r="O435" s="12"/>
    </row>
    <row r="436" ht="12.75" spans="1:15">
      <c r="A436" s="12" t="str">
        <f>IFERROR(__xludf.DUMMYFUNCTION("""COMPUTED_VALUE"""),"LVBI11")</f>
        <v>LVBI11</v>
      </c>
      <c r="B436" s="12">
        <f>IFERROR(__xludf.DUMMYFUNCTION("""COMPUTED_VALUE"""),5)</f>
        <v>5</v>
      </c>
      <c r="C436" s="26">
        <f>IFERROR(__xludf.DUMMYFUNCTION("""COMPUTED_VALUE"""),635.1945615)</f>
        <v>635.1945615</v>
      </c>
      <c r="D436" s="27">
        <f>IFERROR(__xludf.DUMMYFUNCTION("""COMPUTED_VALUE"""),43871)</f>
        <v>43871</v>
      </c>
      <c r="I436" s="12"/>
      <c r="J436" s="34"/>
      <c r="N436" s="12"/>
      <c r="O436" s="12"/>
    </row>
    <row r="437" ht="12.75" spans="1:15">
      <c r="A437" s="12" t="str">
        <f>IFERROR(__xludf.DUMMYFUNCTION("""COMPUTED_VALUE"""),"MGFF11")</f>
        <v>MGFF11</v>
      </c>
      <c r="B437" s="12">
        <f>IFERROR(__xludf.DUMMYFUNCTION("""COMPUTED_VALUE"""),15)</f>
        <v>15</v>
      </c>
      <c r="C437" s="26">
        <f>IFERROR(__xludf.DUMMYFUNCTION("""COMPUTED_VALUE"""),1702.277811075)</f>
        <v>1702.277811075</v>
      </c>
      <c r="D437" s="27">
        <f>IFERROR(__xludf.DUMMYFUNCTION("""COMPUTED_VALUE"""),43871)</f>
        <v>43871</v>
      </c>
      <c r="I437" s="12"/>
      <c r="J437" s="34"/>
      <c r="N437" s="12"/>
      <c r="O437" s="12"/>
    </row>
    <row r="438" ht="12.75" spans="1:15">
      <c r="A438" s="12" t="str">
        <f>IFERROR(__xludf.DUMMYFUNCTION("""COMPUTED_VALUE"""),"SAAG11")</f>
        <v>SAAG11</v>
      </c>
      <c r="B438" s="12">
        <f>IFERROR(__xludf.DUMMYFUNCTION("""COMPUTED_VALUE"""),15)</f>
        <v>15</v>
      </c>
      <c r="C438" s="26">
        <f>IFERROR(__xludf.DUMMYFUNCTION("""COMPUTED_VALUE"""),1990.96714721499)</f>
        <v>1990.96714721499</v>
      </c>
      <c r="D438" s="27">
        <f>IFERROR(__xludf.DUMMYFUNCTION("""COMPUTED_VALUE"""),43871)</f>
        <v>43871</v>
      </c>
      <c r="I438" s="12"/>
      <c r="J438" s="34"/>
      <c r="N438" s="12"/>
      <c r="O438" s="12"/>
    </row>
    <row r="439" ht="12.75" spans="1:15">
      <c r="A439" s="12" t="str">
        <f>IFERROR(__xludf.DUMMYFUNCTION("""COMPUTED_VALUE"""),"XPML11")</f>
        <v>XPML11</v>
      </c>
      <c r="B439" s="12">
        <f>IFERROR(__xludf.DUMMYFUNCTION("""COMPUTED_VALUE"""),15)</f>
        <v>15</v>
      </c>
      <c r="C439" s="26">
        <f>IFERROR(__xludf.DUMMYFUNCTION("""COMPUTED_VALUE"""),2013.47333246499)</f>
        <v>2013.47333246499</v>
      </c>
      <c r="D439" s="27">
        <f>IFERROR(__xludf.DUMMYFUNCTION("""COMPUTED_VALUE"""),43871)</f>
        <v>43871</v>
      </c>
      <c r="I439" s="12"/>
      <c r="J439" s="34"/>
      <c r="N439" s="12"/>
      <c r="O439" s="12"/>
    </row>
    <row r="440" ht="12.75" spans="1:15">
      <c r="A440" s="12" t="str">
        <f>IFERROR(__xludf.DUMMYFUNCTION("""COMPUTED_VALUE"""),"HGBS11")</f>
        <v>HGBS11</v>
      </c>
      <c r="B440" s="12">
        <f>IFERROR(__xludf.DUMMYFUNCTION("""COMPUTED_VALUE"""),10)</f>
        <v>10</v>
      </c>
      <c r="C440" s="26">
        <f>IFERROR(__xludf.DUMMYFUNCTION("""COMPUTED_VALUE"""),2830.78793951)</f>
        <v>2830.78793951</v>
      </c>
      <c r="D440" s="27">
        <f>IFERROR(__xludf.DUMMYFUNCTION("""COMPUTED_VALUE"""),43873)</f>
        <v>43873</v>
      </c>
      <c r="I440" s="12"/>
      <c r="J440" s="34"/>
      <c r="N440" s="12"/>
      <c r="O440" s="12"/>
    </row>
    <row r="441" ht="12.75" spans="1:15">
      <c r="A441" s="12" t="str">
        <f>IFERROR(__xludf.DUMMYFUNCTION("""COMPUTED_VALUE"""),"HGBS11")</f>
        <v>HGBS11</v>
      </c>
      <c r="B441" s="12">
        <f>IFERROR(__xludf.DUMMYFUNCTION("""COMPUTED_VALUE"""),5)</f>
        <v>5</v>
      </c>
      <c r="C441" s="26">
        <f>IFERROR(__xludf.DUMMYFUNCTION("""COMPUTED_VALUE"""),1415.4189835)</f>
        <v>1415.4189835</v>
      </c>
      <c r="D441" s="27">
        <f>IFERROR(__xludf.DUMMYFUNCTION("""COMPUTED_VALUE"""),43873)</f>
        <v>43873</v>
      </c>
      <c r="I441" s="12"/>
      <c r="J441" s="34"/>
      <c r="N441" s="12"/>
      <c r="O441" s="12"/>
    </row>
    <row r="442" ht="12.75" spans="1:15">
      <c r="A442" s="12" t="str">
        <f>IFERROR(__xludf.DUMMYFUNCTION("""COMPUTED_VALUE"""),"HGCR11")</f>
        <v>HGCR11</v>
      </c>
      <c r="B442" s="12">
        <f>IFERROR(__xludf.DUMMYFUNCTION("""COMPUTED_VALUE"""),15)</f>
        <v>15</v>
      </c>
      <c r="C442" s="26">
        <f>IFERROR(__xludf.DUMMYFUNCTION("""COMPUTED_VALUE"""),1704.22834713)</f>
        <v>1704.22834713</v>
      </c>
      <c r="D442" s="27">
        <f>IFERROR(__xludf.DUMMYFUNCTION("""COMPUTED_VALUE"""),43873)</f>
        <v>43873</v>
      </c>
      <c r="I442" s="12"/>
      <c r="J442" s="34"/>
      <c r="N442" s="12"/>
      <c r="O442" s="12"/>
    </row>
    <row r="443" ht="12.75" spans="1:15">
      <c r="A443" s="12" t="str">
        <f>IFERROR(__xludf.DUMMYFUNCTION("""COMPUTED_VALUE"""),"HGRE11")</f>
        <v>HGRE11</v>
      </c>
      <c r="B443" s="12">
        <f>IFERROR(__xludf.DUMMYFUNCTION("""COMPUTED_VALUE"""),15)</f>
        <v>15</v>
      </c>
      <c r="C443" s="26">
        <f>IFERROR(__xludf.DUMMYFUNCTION("""COMPUTED_VALUE"""),2925.754041265)</f>
        <v>2925.754041265</v>
      </c>
      <c r="D443" s="27">
        <f>IFERROR(__xludf.DUMMYFUNCTION("""COMPUTED_VALUE"""),43873)</f>
        <v>43873</v>
      </c>
      <c r="I443" s="12"/>
      <c r="J443" s="34"/>
      <c r="N443" s="12"/>
      <c r="O443" s="12"/>
    </row>
    <row r="444" ht="12.75" spans="1:15">
      <c r="A444" s="12" t="str">
        <f>IFERROR(__xludf.DUMMYFUNCTION("""COMPUTED_VALUE"""),"MGFF11")</f>
        <v>MGFF11</v>
      </c>
      <c r="B444" s="12">
        <f>IFERROR(__xludf.DUMMYFUNCTION("""COMPUTED_VALUE"""),10)</f>
        <v>10</v>
      </c>
      <c r="C444" s="26">
        <f>IFERROR(__xludf.DUMMYFUNCTION("""COMPUTED_VALUE"""),1140.55344098)</f>
        <v>1140.55344098</v>
      </c>
      <c r="D444" s="27">
        <f>IFERROR(__xludf.DUMMYFUNCTION("""COMPUTED_VALUE"""),43873)</f>
        <v>43873</v>
      </c>
      <c r="I444" s="12"/>
      <c r="J444" s="34"/>
      <c r="N444" s="12"/>
      <c r="O444" s="12"/>
    </row>
    <row r="445" ht="12.75" spans="1:15">
      <c r="A445" s="12" t="str">
        <f>IFERROR(__xludf.DUMMYFUNCTION("""COMPUTED_VALUE"""),"HFOF11")</f>
        <v>HFOF11</v>
      </c>
      <c r="B445" s="12">
        <f>IFERROR(__xludf.DUMMYFUNCTION("""COMPUTED_VALUE"""),10)</f>
        <v>10</v>
      </c>
      <c r="C445" s="26">
        <f>IFERROR(__xludf.DUMMYFUNCTION("""COMPUTED_VALUE"""),1170.76174296)</f>
        <v>1170.76174296</v>
      </c>
      <c r="D445" s="27">
        <f>IFERROR(__xludf.DUMMYFUNCTION("""COMPUTED_VALUE"""),43875)</f>
        <v>43875</v>
      </c>
      <c r="I445" s="12"/>
      <c r="J445" s="34"/>
      <c r="N445" s="12"/>
      <c r="O445" s="12"/>
    </row>
    <row r="446" ht="12.75" spans="1:15">
      <c r="A446" s="12" t="str">
        <f>IFERROR(__xludf.DUMMYFUNCTION("""COMPUTED_VALUE"""),"IRDM11")</f>
        <v>IRDM11</v>
      </c>
      <c r="B446" s="12">
        <f>IFERROR(__xludf.DUMMYFUNCTION("""COMPUTED_VALUE"""),10)</f>
        <v>10</v>
      </c>
      <c r="C446" s="26">
        <f>IFERROR(__xludf.DUMMYFUNCTION("""COMPUTED_VALUE"""),1190.26710350999)</f>
        <v>1190.26710350999</v>
      </c>
      <c r="D446" s="27">
        <f>IFERROR(__xludf.DUMMYFUNCTION("""COMPUTED_VALUE"""),43875)</f>
        <v>43875</v>
      </c>
      <c r="I446" s="12"/>
      <c r="J446" s="34"/>
      <c r="N446" s="12"/>
      <c r="O446" s="12"/>
    </row>
    <row r="447" ht="12.75" spans="1:15">
      <c r="A447" s="12" t="str">
        <f>IFERROR(__xludf.DUMMYFUNCTION("""COMPUTED_VALUE"""),"LVBI11")</f>
        <v>LVBI11</v>
      </c>
      <c r="B447" s="12">
        <f>IFERROR(__xludf.DUMMYFUNCTION("""COMPUTED_VALUE"""),10)</f>
        <v>10</v>
      </c>
      <c r="C447" s="26">
        <f>IFERROR(__xludf.DUMMYFUNCTION("""COMPUTED_VALUE"""),1320.402868)</f>
        <v>1320.402868</v>
      </c>
      <c r="D447" s="27">
        <f>IFERROR(__xludf.DUMMYFUNCTION("""COMPUTED_VALUE"""),43875)</f>
        <v>43875</v>
      </c>
      <c r="I447" s="12"/>
      <c r="J447" s="34"/>
      <c r="N447" s="12"/>
      <c r="O447" s="12"/>
    </row>
    <row r="448" ht="12.75" spans="1:15">
      <c r="A448" s="12" t="str">
        <f>IFERROR(__xludf.DUMMYFUNCTION("""COMPUTED_VALUE"""),"HFOF11")</f>
        <v>HFOF11</v>
      </c>
      <c r="B448" s="12">
        <f>IFERROR(__xludf.DUMMYFUNCTION("""COMPUTED_VALUE"""),20)</f>
        <v>20</v>
      </c>
      <c r="C448" s="26">
        <f>IFERROR(__xludf.DUMMYFUNCTION("""COMPUTED_VALUE"""),2337.7224413)</f>
        <v>2337.7224413</v>
      </c>
      <c r="D448" s="27">
        <f>IFERROR(__xludf.DUMMYFUNCTION("""COMPUTED_VALUE"""),43878)</f>
        <v>43878</v>
      </c>
      <c r="I448" s="12"/>
      <c r="J448" s="34"/>
      <c r="N448" s="12"/>
      <c r="O448" s="12"/>
    </row>
    <row r="449" ht="12.75" spans="1:15">
      <c r="A449" s="12" t="str">
        <f>IFERROR(__xludf.DUMMYFUNCTION("""COMPUTED_VALUE"""),"HGBS11")</f>
        <v>HGBS11</v>
      </c>
      <c r="B449" s="12">
        <f>IFERROR(__xludf.DUMMYFUNCTION("""COMPUTED_VALUE"""),5)</f>
        <v>5</v>
      </c>
      <c r="C449" s="26">
        <f>IFERROR(__xludf.DUMMYFUNCTION("""COMPUTED_VALUE"""),1416.4392584)</f>
        <v>1416.4392584</v>
      </c>
      <c r="D449" s="27">
        <f>IFERROR(__xludf.DUMMYFUNCTION("""COMPUTED_VALUE"""),43878)</f>
        <v>43878</v>
      </c>
      <c r="I449" s="12"/>
      <c r="J449" s="34"/>
      <c r="N449" s="12"/>
      <c r="O449" s="12"/>
    </row>
    <row r="450" ht="12.75" spans="1:15">
      <c r="A450" s="12" t="str">
        <f>IFERROR(__xludf.DUMMYFUNCTION("""COMPUTED_VALUE"""),"HGCR11")</f>
        <v>HGCR11</v>
      </c>
      <c r="B450" s="12">
        <f>IFERROR(__xludf.DUMMYFUNCTION("""COMPUTED_VALUE"""),15)</f>
        <v>15</v>
      </c>
      <c r="C450" s="26">
        <f>IFERROR(__xludf.DUMMYFUNCTION("""COMPUTED_VALUE"""),1753.89199591499)</f>
        <v>1753.89199591499</v>
      </c>
      <c r="D450" s="27">
        <f>IFERROR(__xludf.DUMMYFUNCTION("""COMPUTED_VALUE"""),43878)</f>
        <v>43878</v>
      </c>
      <c r="I450" s="12"/>
      <c r="J450" s="34"/>
      <c r="N450" s="12"/>
      <c r="O450" s="12"/>
    </row>
    <row r="451" ht="12.75" spans="1:15">
      <c r="A451" s="12" t="str">
        <f>IFERROR(__xludf.DUMMYFUNCTION("""COMPUTED_VALUE"""),"HGCR11")</f>
        <v>HGCR11</v>
      </c>
      <c r="B451" s="12">
        <f>IFERROR(__xludf.DUMMYFUNCTION("""COMPUTED_VALUE"""),5)</f>
        <v>5</v>
      </c>
      <c r="C451" s="26">
        <f>IFERROR(__xludf.DUMMYFUNCTION("""COMPUTED_VALUE"""),584.48062407)</f>
        <v>584.48062407</v>
      </c>
      <c r="D451" s="27">
        <f>IFERROR(__xludf.DUMMYFUNCTION("""COMPUTED_VALUE"""),43878)</f>
        <v>43878</v>
      </c>
      <c r="I451" s="12"/>
      <c r="J451" s="34"/>
      <c r="N451" s="12"/>
      <c r="O451" s="12"/>
    </row>
    <row r="452" ht="12.75" spans="1:15">
      <c r="A452" s="12" t="str">
        <f>IFERROR(__xludf.DUMMYFUNCTION("""COMPUTED_VALUE"""),"HGLG11")</f>
        <v>HGLG11</v>
      </c>
      <c r="B452" s="12">
        <f>IFERROR(__xludf.DUMMYFUNCTION("""COMPUTED_VALUE"""),10)</f>
        <v>10</v>
      </c>
      <c r="C452" s="26">
        <f>IFERROR(__xludf.DUMMYFUNCTION("""COMPUTED_VALUE"""),1893.57038569999)</f>
        <v>1893.57038569999</v>
      </c>
      <c r="D452" s="27">
        <f>IFERROR(__xludf.DUMMYFUNCTION("""COMPUTED_VALUE"""),43878)</f>
        <v>43878</v>
      </c>
      <c r="I452" s="12"/>
      <c r="J452" s="34"/>
      <c r="N452" s="12"/>
      <c r="O452" s="12"/>
    </row>
    <row r="453" ht="12.75" spans="1:15">
      <c r="A453" s="12" t="str">
        <f>IFERROR(__xludf.DUMMYFUNCTION("""COMPUTED_VALUE"""),"HGLG11")</f>
        <v>HGLG11</v>
      </c>
      <c r="B453" s="12">
        <f>IFERROR(__xludf.DUMMYFUNCTION("""COMPUTED_VALUE"""),20)</f>
        <v>20</v>
      </c>
      <c r="C453" s="26">
        <f>IFERROR(__xludf.DUMMYFUNCTION("""COMPUTED_VALUE"""),3787.38082637999)</f>
        <v>3787.38082637999</v>
      </c>
      <c r="D453" s="27">
        <f>IFERROR(__xludf.DUMMYFUNCTION("""COMPUTED_VALUE"""),43878)</f>
        <v>43878</v>
      </c>
      <c r="I453" s="12"/>
      <c r="J453" s="34"/>
      <c r="N453" s="12"/>
      <c r="O453" s="12"/>
    </row>
    <row r="454" ht="12.75" spans="1:15">
      <c r="A454" s="12" t="str">
        <f>IFERROR(__xludf.DUMMYFUNCTION("""COMPUTED_VALUE"""),"IRDM11")</f>
        <v>IRDM11</v>
      </c>
      <c r="B454" s="12">
        <f>IFERROR(__xludf.DUMMYFUNCTION("""COMPUTED_VALUE"""),20)</f>
        <v>20</v>
      </c>
      <c r="C454" s="26">
        <f>IFERROR(__xludf.DUMMYFUNCTION("""COMPUTED_VALUE"""),2392.93761577999)</f>
        <v>2392.93761577999</v>
      </c>
      <c r="D454" s="27">
        <f>IFERROR(__xludf.DUMMYFUNCTION("""COMPUTED_VALUE"""),43878)</f>
        <v>43878</v>
      </c>
      <c r="I454" s="12"/>
      <c r="J454" s="34"/>
      <c r="N454" s="12"/>
      <c r="O454" s="12"/>
    </row>
    <row r="455" ht="12.75" spans="1:15">
      <c r="A455" s="12" t="str">
        <f>IFERROR(__xludf.DUMMYFUNCTION("""COMPUTED_VALUE"""),"MGFF11")</f>
        <v>MGFF11</v>
      </c>
      <c r="B455" s="12">
        <f>IFERROR(__xludf.DUMMYFUNCTION("""COMPUTED_VALUE"""),20)</f>
        <v>20</v>
      </c>
      <c r="C455" s="26">
        <f>IFERROR(__xludf.DUMMYFUNCTION("""COMPUTED_VALUE"""),2290.50946601999)</f>
        <v>2290.50946601999</v>
      </c>
      <c r="D455" s="27">
        <f>IFERROR(__xludf.DUMMYFUNCTION("""COMPUTED_VALUE"""),43878)</f>
        <v>43878</v>
      </c>
      <c r="I455" s="12"/>
      <c r="J455" s="34"/>
      <c r="N455" s="12"/>
      <c r="O455" s="12"/>
    </row>
    <row r="456" ht="12.75" spans="1:15">
      <c r="A456" s="12" t="str">
        <f>IFERROR(__xludf.DUMMYFUNCTION("""COMPUTED_VALUE"""),"IRDM11")</f>
        <v>IRDM11</v>
      </c>
      <c r="B456" s="12">
        <f>IFERROR(__xludf.DUMMYFUNCTION("""COMPUTED_VALUE"""),10)</f>
        <v>10</v>
      </c>
      <c r="C456" s="26">
        <f>IFERROR(__xludf.DUMMYFUNCTION("""COMPUTED_VALUE"""),1194.3682306)</f>
        <v>1194.3682306</v>
      </c>
      <c r="D456" s="27">
        <f>IFERROR(__xludf.DUMMYFUNCTION("""COMPUTED_VALUE"""),43881)</f>
        <v>43881</v>
      </c>
      <c r="I456" s="12"/>
      <c r="J456" s="34"/>
      <c r="N456" s="12"/>
      <c r="O456" s="12"/>
    </row>
    <row r="457" ht="12.75" spans="1:15">
      <c r="A457" s="12" t="str">
        <f>IFERROR(__xludf.DUMMYFUNCTION("""COMPUTED_VALUE"""),"MGFF11")</f>
        <v>MGFF11</v>
      </c>
      <c r="B457" s="12">
        <f>IFERROR(__xludf.DUMMYFUNCTION("""COMPUTED_VALUE"""),15)</f>
        <v>15</v>
      </c>
      <c r="C457" s="26">
        <f>IFERROR(__xludf.DUMMYFUNCTION("""COMPUTED_VALUE"""),1658)</f>
        <v>1658</v>
      </c>
      <c r="D457" s="27">
        <f>IFERROR(__xludf.DUMMYFUNCTION("""COMPUTED_VALUE"""),43881)</f>
        <v>43881</v>
      </c>
      <c r="I457" s="12"/>
      <c r="J457" s="34"/>
      <c r="N457" s="12"/>
      <c r="O457" s="12"/>
    </row>
    <row r="458" ht="12.75" spans="1:15">
      <c r="A458" s="12" t="str">
        <f>IFERROR(__xludf.DUMMYFUNCTION("""COMPUTED_VALUE"""),"HGRE11")</f>
        <v>HGRE11</v>
      </c>
      <c r="B458" s="12">
        <f>IFERROR(__xludf.DUMMYFUNCTION("""COMPUTED_VALUE"""),20)</f>
        <v>20</v>
      </c>
      <c r="C458" s="26">
        <f>IFERROR(__xludf.DUMMYFUNCTION("""COMPUTED_VALUE"""),3553.49655476)</f>
        <v>3553.49655476</v>
      </c>
      <c r="D458" s="27">
        <f>IFERROR(__xludf.DUMMYFUNCTION("""COMPUTED_VALUE"""),43887)</f>
        <v>43887</v>
      </c>
      <c r="I458" s="12"/>
      <c r="J458" s="34"/>
      <c r="N458" s="12"/>
      <c r="O458" s="12"/>
    </row>
    <row r="459" ht="12.75" spans="1:15">
      <c r="A459" s="12" t="str">
        <f>IFERROR(__xludf.DUMMYFUNCTION("""COMPUTED_VALUE"""),"LVBI11")</f>
        <v>LVBI11</v>
      </c>
      <c r="B459" s="12">
        <f>IFERROR(__xludf.DUMMYFUNCTION("""COMPUTED_VALUE"""),20)</f>
        <v>20</v>
      </c>
      <c r="C459" s="26">
        <f>IFERROR(__xludf.DUMMYFUNCTION("""COMPUTED_VALUE"""),2500.77725)</f>
        <v>2500.77725</v>
      </c>
      <c r="D459" s="27">
        <f>IFERROR(__xludf.DUMMYFUNCTION("""COMPUTED_VALUE"""),43887)</f>
        <v>43887</v>
      </c>
      <c r="I459" s="12"/>
      <c r="J459" s="34"/>
      <c r="N459" s="12"/>
      <c r="O459" s="12"/>
    </row>
    <row r="460" ht="12.75" spans="1:15">
      <c r="A460" s="12" t="str">
        <f>IFERROR(__xludf.DUMMYFUNCTION("""COMPUTED_VALUE"""),"MGFF11")</f>
        <v>MGFF11</v>
      </c>
      <c r="B460" s="12">
        <f>IFERROR(__xludf.DUMMYFUNCTION("""COMPUTED_VALUE"""),10)</f>
        <v>10</v>
      </c>
      <c r="C460" s="26">
        <f>IFERROR(__xludf.DUMMYFUNCTION("""COMPUTED_VALUE"""),1086.83867885)</f>
        <v>1086.83867885</v>
      </c>
      <c r="D460" s="27">
        <f>IFERROR(__xludf.DUMMYFUNCTION("""COMPUTED_VALUE"""),43887)</f>
        <v>43887</v>
      </c>
      <c r="I460" s="12"/>
      <c r="J460" s="34"/>
      <c r="N460" s="12"/>
      <c r="O460" s="12"/>
    </row>
    <row r="461" ht="12.75" spans="1:15">
      <c r="A461" s="12" t="str">
        <f>IFERROR(__xludf.DUMMYFUNCTION("""COMPUTED_VALUE"""),"MGFF11")</f>
        <v>MGFF11</v>
      </c>
      <c r="B461" s="12">
        <f>IFERROR(__xludf.DUMMYFUNCTION("""COMPUTED_VALUE"""),15)</f>
        <v>15</v>
      </c>
      <c r="C461" s="26">
        <f>IFERROR(__xludf.DUMMYFUNCTION("""COMPUTED_VALUE"""),1632.79871927)</f>
        <v>1632.79871927</v>
      </c>
      <c r="D461" s="27">
        <f>IFERROR(__xludf.DUMMYFUNCTION("""COMPUTED_VALUE"""),43887)</f>
        <v>43887</v>
      </c>
      <c r="I461" s="12"/>
      <c r="J461" s="34"/>
      <c r="N461" s="12"/>
      <c r="O461" s="12"/>
    </row>
    <row r="462" ht="12.75" spans="1:15">
      <c r="A462" s="12" t="str">
        <f>IFERROR(__xludf.DUMMYFUNCTION("""COMPUTED_VALUE"""),"SAAG11")</f>
        <v>SAAG11</v>
      </c>
      <c r="B462" s="12">
        <f>IFERROR(__xludf.DUMMYFUNCTION("""COMPUTED_VALUE"""),16)</f>
        <v>16</v>
      </c>
      <c r="C462" s="26">
        <f>IFERROR(__xludf.DUMMYFUNCTION("""COMPUTED_VALUE"""),2096.6461904)</f>
        <v>2096.6461904</v>
      </c>
      <c r="D462" s="27">
        <f>IFERROR(__xludf.DUMMYFUNCTION("""COMPUTED_VALUE"""),43887)</f>
        <v>43887</v>
      </c>
      <c r="I462" s="12"/>
      <c r="J462" s="34"/>
      <c r="N462" s="12"/>
      <c r="O462" s="12"/>
    </row>
    <row r="463" ht="12.75" spans="1:15">
      <c r="A463" s="12" t="str">
        <f>IFERROR(__xludf.DUMMYFUNCTION("""COMPUTED_VALUE"""),"SAAG11")</f>
        <v>SAAG11</v>
      </c>
      <c r="B463" s="12">
        <f>IFERROR(__xludf.DUMMYFUNCTION("""COMPUTED_VALUE"""),4)</f>
        <v>4</v>
      </c>
      <c r="C463" s="26">
        <f>IFERROR(__xludf.DUMMYFUNCTION("""COMPUTED_VALUE"""),524.1266507176)</f>
        <v>524.1266507176</v>
      </c>
      <c r="D463" s="27">
        <f>IFERROR(__xludf.DUMMYFUNCTION("""COMPUTED_VALUE"""),43887)</f>
        <v>43887</v>
      </c>
      <c r="I463" s="12"/>
      <c r="J463" s="34"/>
      <c r="N463" s="12"/>
      <c r="O463" s="12"/>
    </row>
    <row r="464" ht="12.75" spans="1:15">
      <c r="A464" s="12" t="str">
        <f>IFERROR(__xludf.DUMMYFUNCTION("""COMPUTED_VALUE"""),"HGRE11")</f>
        <v>HGRE11</v>
      </c>
      <c r="B464" s="12">
        <f>IFERROR(__xludf.DUMMYFUNCTION("""COMPUTED_VALUE"""),30)</f>
        <v>30</v>
      </c>
      <c r="C464" s="26">
        <f>IFERROR(__xludf.DUMMYFUNCTION("""COMPUTED_VALUE"""),5290.33386363)</f>
        <v>5290.33386363</v>
      </c>
      <c r="D464" s="27">
        <f>IFERROR(__xludf.DUMMYFUNCTION("""COMPUTED_VALUE"""),43888)</f>
        <v>43888</v>
      </c>
      <c r="I464" s="12"/>
      <c r="J464" s="34"/>
      <c r="N464" s="12"/>
      <c r="O464" s="12"/>
    </row>
    <row r="465" ht="12.75" spans="1:15">
      <c r="A465" s="12" t="str">
        <f>IFERROR(__xludf.DUMMYFUNCTION("""COMPUTED_VALUE"""),"SAAG11")</f>
        <v>SAAG11</v>
      </c>
      <c r="B465" s="12">
        <f>IFERROR(__xludf.DUMMYFUNCTION("""COMPUTED_VALUE"""),30)</f>
        <v>30</v>
      </c>
      <c r="C465" s="26">
        <f>IFERROR(__xludf.DUMMYFUNCTION("""COMPUTED_VALUE"""),3913.2054088)</f>
        <v>3913.2054088</v>
      </c>
      <c r="D465" s="27">
        <f>IFERROR(__xludf.DUMMYFUNCTION("""COMPUTED_VALUE"""),43888)</f>
        <v>43888</v>
      </c>
      <c r="I465" s="12"/>
      <c r="J465" s="34"/>
      <c r="N465" s="12"/>
      <c r="O465" s="12"/>
    </row>
    <row r="466" ht="12.75" spans="1:15">
      <c r="A466" s="12" t="str">
        <f>IFERROR(__xludf.DUMMYFUNCTION("""COMPUTED_VALUE"""),"HGCR11")</f>
        <v>HGCR11</v>
      </c>
      <c r="B466" s="12">
        <f>IFERROR(__xludf.DUMMYFUNCTION("""COMPUTED_VALUE"""),15)</f>
        <v>15</v>
      </c>
      <c r="C466" s="26">
        <f>IFERROR(__xludf.DUMMYFUNCTION("""COMPUTED_VALUE"""),1703.92826466)</f>
        <v>1703.92826466</v>
      </c>
      <c r="D466" s="27">
        <f>IFERROR(__xludf.DUMMYFUNCTION("""COMPUTED_VALUE"""),43889)</f>
        <v>43889</v>
      </c>
      <c r="I466" s="12"/>
      <c r="J466" s="34"/>
      <c r="N466" s="12"/>
      <c r="O466" s="12"/>
    </row>
    <row r="467" ht="12.75" spans="1:15">
      <c r="A467" s="12" t="str">
        <f>IFERROR(__xludf.DUMMYFUNCTION("""COMPUTED_VALUE"""),"HGLG11")</f>
        <v>HGLG11</v>
      </c>
      <c r="B467" s="12">
        <f>IFERROR(__xludf.DUMMYFUNCTION("""COMPUTED_VALUE"""),30)</f>
        <v>30</v>
      </c>
      <c r="C467" s="26">
        <f>IFERROR(__xludf.DUMMYFUNCTION("""COMPUTED_VALUE"""),5389.6711612)</f>
        <v>5389.6711612</v>
      </c>
      <c r="D467" s="27">
        <f>IFERROR(__xludf.DUMMYFUNCTION("""COMPUTED_VALUE"""),43889)</f>
        <v>43889</v>
      </c>
      <c r="I467" s="12"/>
      <c r="J467" s="34"/>
      <c r="N467" s="12"/>
      <c r="O467" s="12"/>
    </row>
    <row r="468" ht="12.75" spans="1:15">
      <c r="A468" s="12" t="str">
        <f>IFERROR(__xludf.DUMMYFUNCTION("""COMPUTED_VALUE"""),"HGRE11")</f>
        <v>HGRE11</v>
      </c>
      <c r="B468" s="12">
        <f>IFERROR(__xludf.DUMMYFUNCTION("""COMPUTED_VALUE"""),30)</f>
        <v>30</v>
      </c>
      <c r="C468" s="26">
        <f>IFERROR(__xludf.DUMMYFUNCTION("""COMPUTED_VALUE"""),5330.84499708)</f>
        <v>5330.84499708</v>
      </c>
      <c r="D468" s="27">
        <f>IFERROR(__xludf.DUMMYFUNCTION("""COMPUTED_VALUE"""),43889)</f>
        <v>43889</v>
      </c>
      <c r="I468" s="12"/>
      <c r="J468" s="34"/>
      <c r="N468" s="12"/>
      <c r="O468" s="12"/>
    </row>
    <row r="469" ht="12.75" spans="1:15">
      <c r="A469" s="12" t="str">
        <f>IFERROR(__xludf.DUMMYFUNCTION("""COMPUTED_VALUE"""),"IRDM11")</f>
        <v>IRDM11</v>
      </c>
      <c r="B469" s="12">
        <f>IFERROR(__xludf.DUMMYFUNCTION("""COMPUTED_VALUE"""),15)</f>
        <v>15</v>
      </c>
      <c r="C469" s="26">
        <f>IFERROR(__xludf.DUMMYFUNCTION("""COMPUTED_VALUE"""),1810.297500275)</f>
        <v>1810.297500275</v>
      </c>
      <c r="D469" s="27">
        <f>IFERROR(__xludf.DUMMYFUNCTION("""COMPUTED_VALUE"""),43889)</f>
        <v>43889</v>
      </c>
      <c r="I469" s="12"/>
      <c r="J469" s="34"/>
      <c r="N469" s="12"/>
      <c r="O469" s="12"/>
    </row>
    <row r="470" ht="12.75" spans="1:15">
      <c r="A470" s="12" t="str">
        <f>IFERROR(__xludf.DUMMYFUNCTION("""COMPUTED_VALUE"""),"IRDM11")</f>
        <v>IRDM11</v>
      </c>
      <c r="B470" s="12">
        <f>IFERROR(__xludf.DUMMYFUNCTION("""COMPUTED_VALUE"""),4)</f>
        <v>4</v>
      </c>
      <c r="C470" s="26">
        <f>IFERROR(__xludf.DUMMYFUNCTION("""COMPUTED_VALUE"""),482.953559368)</f>
        <v>482.953559368</v>
      </c>
      <c r="D470" s="27">
        <f>IFERROR(__xludf.DUMMYFUNCTION("""COMPUTED_VALUE"""),43889)</f>
        <v>43889</v>
      </c>
      <c r="I470" s="12"/>
      <c r="J470" s="34"/>
      <c r="N470" s="12"/>
      <c r="O470" s="12"/>
    </row>
    <row r="471" ht="12.75" spans="1:15">
      <c r="A471" s="12" t="str">
        <f>IFERROR(__xludf.DUMMYFUNCTION("""COMPUTED_VALUE"""),"IRDM11")</f>
        <v>IRDM11</v>
      </c>
      <c r="B471" s="12">
        <f>IFERROR(__xludf.DUMMYFUNCTION("""COMPUTED_VALUE"""),1)</f>
        <v>1</v>
      </c>
      <c r="C471" s="26">
        <f>IFERROR(__xludf.DUMMYFUNCTION("""COMPUTED_VALUE"""),120.678370758399)</f>
        <v>120.678370758399</v>
      </c>
      <c r="D471" s="27">
        <f>IFERROR(__xludf.DUMMYFUNCTION("""COMPUTED_VALUE"""),43889)</f>
        <v>43889</v>
      </c>
      <c r="I471" s="12"/>
      <c r="J471" s="34"/>
      <c r="N471" s="12"/>
      <c r="O471" s="12"/>
    </row>
    <row r="472" ht="12.75" spans="1:15">
      <c r="A472" s="12" t="str">
        <f>IFERROR(__xludf.DUMMYFUNCTION("""COMPUTED_VALUE"""),"IRDM11")</f>
        <v>IRDM11</v>
      </c>
      <c r="B472" s="12">
        <f>IFERROR(__xludf.DUMMYFUNCTION("""COMPUTED_VALUE"""),18)</f>
        <v>18</v>
      </c>
      <c r="C472" s="26">
        <f>IFERROR(__xludf.DUMMYFUNCTION("""COMPUTED_VALUE"""),1824.3)</f>
        <v>1824.3</v>
      </c>
      <c r="D472" s="27">
        <f>IFERROR(__xludf.DUMMYFUNCTION("""COMPUTED_VALUE"""),43882)</f>
        <v>43882</v>
      </c>
      <c r="I472" s="12"/>
      <c r="J472" s="34"/>
      <c r="N472" s="12"/>
      <c r="O472" s="12"/>
    </row>
    <row r="473" ht="12.75" spans="1:15">
      <c r="A473" s="12" t="str">
        <f>IFERROR(__xludf.DUMMYFUNCTION("""COMPUTED_VALUE"""),"HFOF11")</f>
        <v>HFOF11</v>
      </c>
      <c r="B473" s="12">
        <f>IFERROR(__xludf.DUMMYFUNCTION("""COMPUTED_VALUE"""),11)</f>
        <v>11</v>
      </c>
      <c r="C473" s="26">
        <f>IFERROR(__xludf.DUMMYFUNCTION("""COMPUTED_VALUE"""),1242.56)</f>
        <v>1242.56</v>
      </c>
      <c r="D473" s="27">
        <f>IFERROR(__xludf.DUMMYFUNCTION("""COMPUTED_VALUE"""),43879)</f>
        <v>43879</v>
      </c>
      <c r="I473" s="12"/>
      <c r="J473" s="34"/>
      <c r="N473" s="12"/>
      <c r="O473" s="12"/>
    </row>
    <row r="474" ht="12.75" spans="1:15">
      <c r="A474" s="12" t="str">
        <f>IFERROR(__xludf.DUMMYFUNCTION("""COMPUTED_VALUE"""),"BBPO11")</f>
        <v>BBPO11</v>
      </c>
      <c r="B474" s="12">
        <f>IFERROR(__xludf.DUMMYFUNCTION("""COMPUTED_VALUE"""),10)</f>
        <v>10</v>
      </c>
      <c r="C474" s="26">
        <f>IFERROR(__xludf.DUMMYFUNCTION("""COMPUTED_VALUE"""),1705.02856705)</f>
        <v>1705.02856705</v>
      </c>
      <c r="D474" s="27">
        <f>IFERROR(__xludf.DUMMYFUNCTION("""COMPUTED_VALUE"""),43832)</f>
        <v>43832</v>
      </c>
      <c r="I474" s="12"/>
      <c r="J474" s="34"/>
      <c r="N474" s="12"/>
      <c r="O474" s="12"/>
    </row>
    <row r="475" ht="12.75" spans="1:15">
      <c r="A475" s="12" t="str">
        <f>IFERROR(__xludf.DUMMYFUNCTION("""COMPUTED_VALUE"""),"HGCR11")</f>
        <v>HGCR11</v>
      </c>
      <c r="B475" s="12">
        <f>IFERROR(__xludf.DUMMYFUNCTION("""COMPUTED_VALUE"""),10)</f>
        <v>10</v>
      </c>
      <c r="C475" s="26">
        <f>IFERROR(__xludf.DUMMYFUNCTION("""COMPUTED_VALUE"""),1287.4037963)</f>
        <v>1287.4037963</v>
      </c>
      <c r="D475" s="27">
        <f>IFERROR(__xludf.DUMMYFUNCTION("""COMPUTED_VALUE"""),43832)</f>
        <v>43832</v>
      </c>
      <c r="I475" s="12"/>
      <c r="J475" s="34"/>
      <c r="N475" s="12"/>
      <c r="O475" s="12"/>
    </row>
    <row r="476" ht="12.75" spans="1:15">
      <c r="A476" s="12" t="str">
        <f>IFERROR(__xludf.DUMMYFUNCTION("""COMPUTED_VALUE"""),"HGLG11")</f>
        <v>HGLG11</v>
      </c>
      <c r="B476" s="12">
        <f>IFERROR(__xludf.DUMMYFUNCTION("""COMPUTED_VALUE"""),7)</f>
        <v>7</v>
      </c>
      <c r="C476" s="26">
        <f>IFERROR(__xludf.DUMMYFUNCTION("""COMPUTED_VALUE"""),1482.35737430999)</f>
        <v>1482.35737430999</v>
      </c>
      <c r="D476" s="27">
        <f>IFERROR(__xludf.DUMMYFUNCTION("""COMPUTED_VALUE"""),43832)</f>
        <v>43832</v>
      </c>
      <c r="I476" s="12"/>
      <c r="J476" s="34"/>
      <c r="N476" s="12"/>
      <c r="O476" s="12"/>
    </row>
    <row r="477" ht="12.75" spans="1:15">
      <c r="A477" s="12" t="str">
        <f>IFERROR(__xludf.DUMMYFUNCTION("""COMPUTED_VALUE"""),"HGLG11")</f>
        <v>HGLG11</v>
      </c>
      <c r="B477" s="12">
        <f>IFERROR(__xludf.DUMMYFUNCTION("""COMPUTED_VALUE"""),3)</f>
        <v>3</v>
      </c>
      <c r="C477" s="26">
        <f>IFERROR(__xludf.DUMMYFUNCTION("""COMPUTED_VALUE"""),636.052238450999)</f>
        <v>636.052238450999</v>
      </c>
      <c r="D477" s="27">
        <f>IFERROR(__xludf.DUMMYFUNCTION("""COMPUTED_VALUE"""),43832)</f>
        <v>43832</v>
      </c>
      <c r="I477" s="12"/>
      <c r="J477" s="34"/>
      <c r="N477" s="12"/>
      <c r="O477" s="12"/>
    </row>
    <row r="478" ht="12.75" spans="1:15">
      <c r="A478" s="12" t="str">
        <f>IFERROR(__xludf.DUMMYFUNCTION("""COMPUTED_VALUE"""),"HGBS11")</f>
        <v>HGBS11</v>
      </c>
      <c r="B478" s="12">
        <f>IFERROR(__xludf.DUMMYFUNCTION("""COMPUTED_VALUE"""),5)</f>
        <v>5</v>
      </c>
      <c r="C478" s="26">
        <f>IFERROR(__xludf.DUMMYFUNCTION("""COMPUTED_VALUE"""),1506.47899835999)</f>
        <v>1506.47899835999</v>
      </c>
      <c r="D478" s="27">
        <f>IFERROR(__xludf.DUMMYFUNCTION("""COMPUTED_VALUE"""),43832)</f>
        <v>43832</v>
      </c>
      <c r="I478" s="12"/>
      <c r="J478" s="34"/>
      <c r="N478" s="12"/>
      <c r="O478" s="12"/>
    </row>
    <row r="479" ht="12.75" spans="1:15">
      <c r="A479" s="12" t="str">
        <f>IFERROR(__xludf.DUMMYFUNCTION("""COMPUTED_VALUE"""),"HGRE11")</f>
        <v>HGRE11</v>
      </c>
      <c r="B479" s="12">
        <f>IFERROR(__xludf.DUMMYFUNCTION("""COMPUTED_VALUE"""),10)</f>
        <v>10</v>
      </c>
      <c r="C479" s="26">
        <f>IFERROR(__xludf.DUMMYFUNCTION("""COMPUTED_VALUE"""),2053.6443697)</f>
        <v>2053.6443697</v>
      </c>
      <c r="D479" s="27">
        <f>IFERROR(__xludf.DUMMYFUNCTION("""COMPUTED_VALUE"""),43832)</f>
        <v>43832</v>
      </c>
      <c r="I479" s="12"/>
      <c r="J479" s="34"/>
      <c r="N479" s="12"/>
      <c r="O479" s="12"/>
    </row>
    <row r="480" ht="12.75" spans="1:15">
      <c r="A480" s="12" t="str">
        <f>IFERROR(__xludf.DUMMYFUNCTION("""COMPUTED_VALUE"""),"HFOF11")</f>
        <v>HFOF11</v>
      </c>
      <c r="B480" s="12">
        <f>IFERROR(__xludf.DUMMYFUNCTION("""COMPUTED_VALUE"""),10)</f>
        <v>10</v>
      </c>
      <c r="C480" s="26">
        <f>IFERROR(__xludf.DUMMYFUNCTION("""COMPUTED_VALUE"""),1268.103204662)</f>
        <v>1268.103204662</v>
      </c>
      <c r="D480" s="27">
        <f>IFERROR(__xludf.DUMMYFUNCTION("""COMPUTED_VALUE"""),43832)</f>
        <v>43832</v>
      </c>
      <c r="I480" s="12"/>
      <c r="J480" s="34"/>
      <c r="N480" s="12"/>
      <c r="O480" s="12"/>
    </row>
    <row r="481" ht="12.75" spans="1:15">
      <c r="A481" s="12" t="str">
        <f>IFERROR(__xludf.DUMMYFUNCTION("""COMPUTED_VALUE"""),"IRDM11")</f>
        <v>IRDM11</v>
      </c>
      <c r="B481" s="12">
        <f>IFERROR(__xludf.DUMMYFUNCTION("""COMPUTED_VALUE"""),10)</f>
        <v>10</v>
      </c>
      <c r="C481" s="26">
        <f>IFERROR(__xludf.DUMMYFUNCTION("""COMPUTED_VALUE"""),1413.73851617)</f>
        <v>1413.73851617</v>
      </c>
      <c r="D481" s="27">
        <f>IFERROR(__xludf.DUMMYFUNCTION("""COMPUTED_VALUE"""),43832)</f>
        <v>43832</v>
      </c>
      <c r="I481" s="12"/>
      <c r="J481" s="34"/>
      <c r="N481" s="12"/>
      <c r="O481" s="12"/>
    </row>
    <row r="482" ht="12.75" spans="1:15">
      <c r="A482" s="12" t="str">
        <f>IFERROR(__xludf.DUMMYFUNCTION("""COMPUTED_VALUE"""),"MGFF11")</f>
        <v>MGFF11</v>
      </c>
      <c r="B482" s="12">
        <f>IFERROR(__xludf.DUMMYFUNCTION("""COMPUTED_VALUE"""),1)</f>
        <v>1</v>
      </c>
      <c r="C482" s="26">
        <f>IFERROR(__xludf.DUMMYFUNCTION("""COMPUTED_VALUE"""),131.0316626794)</f>
        <v>131.0316626794</v>
      </c>
      <c r="D482" s="27">
        <f>IFERROR(__xludf.DUMMYFUNCTION("""COMPUTED_VALUE"""),43832)</f>
        <v>43832</v>
      </c>
      <c r="I482" s="12"/>
      <c r="J482" s="34"/>
      <c r="N482" s="12"/>
      <c r="O482" s="12"/>
    </row>
    <row r="483" ht="12.75" spans="1:15">
      <c r="A483" s="12" t="str">
        <f>IFERROR(__xludf.DUMMYFUNCTION("""COMPUTED_VALUE"""),"MGFF11")</f>
        <v>MGFF11</v>
      </c>
      <c r="B483" s="12">
        <f>IFERROR(__xludf.DUMMYFUNCTION("""COMPUTED_VALUE"""),9)</f>
        <v>9</v>
      </c>
      <c r="C483" s="26">
        <f>IFERROR(__xludf.DUMMYFUNCTION("""COMPUTED_VALUE"""),1185.65999999999)</f>
        <v>1185.65999999999</v>
      </c>
      <c r="D483" s="27">
        <f>IFERROR(__xludf.DUMMYFUNCTION("""COMPUTED_VALUE"""),43832)</f>
        <v>43832</v>
      </c>
      <c r="I483" s="12"/>
      <c r="J483" s="34"/>
      <c r="N483" s="12"/>
      <c r="O483" s="12"/>
    </row>
    <row r="484" ht="12.75" spans="1:15">
      <c r="A484" s="12" t="str">
        <f>IFERROR(__xludf.DUMMYFUNCTION("""COMPUTED_VALUE"""),"SAAG11")</f>
        <v>SAAG11</v>
      </c>
      <c r="B484" s="12">
        <f>IFERROR(__xludf.DUMMYFUNCTION("""COMPUTED_VALUE"""),10)</f>
        <v>10</v>
      </c>
      <c r="C484" s="26">
        <f>IFERROR(__xludf.DUMMYFUNCTION("""COMPUTED_VALUE"""),1415.63903848)</f>
        <v>1415.63903848</v>
      </c>
      <c r="D484" s="27">
        <f>IFERROR(__xludf.DUMMYFUNCTION("""COMPUTED_VALUE"""),43832)</f>
        <v>43832</v>
      </c>
      <c r="I484" s="12"/>
      <c r="J484" s="34"/>
      <c r="N484" s="12"/>
      <c r="O484" s="12"/>
    </row>
    <row r="485" ht="12.75" spans="1:15">
      <c r="A485" s="12" t="str">
        <f>IFERROR(__xludf.DUMMYFUNCTION("""COMPUTED_VALUE"""),"SPTW11")</f>
        <v>SPTW11</v>
      </c>
      <c r="B485" s="12">
        <f>IFERROR(__xludf.DUMMYFUNCTION("""COMPUTED_VALUE"""),4)</f>
        <v>4</v>
      </c>
      <c r="C485" s="26">
        <f>IFERROR(__xludf.DUMMYFUNCTION("""COMPUTED_VALUE"""),462.14694372)</f>
        <v>462.14694372</v>
      </c>
      <c r="D485" s="27">
        <f>IFERROR(__xludf.DUMMYFUNCTION("""COMPUTED_VALUE"""),43832)</f>
        <v>43832</v>
      </c>
      <c r="I485" s="12"/>
      <c r="J485" s="34"/>
      <c r="N485" s="12"/>
      <c r="O485" s="12"/>
    </row>
    <row r="486" ht="12.75" spans="1:15">
      <c r="A486" s="12" t="str">
        <f>IFERROR(__xludf.DUMMYFUNCTION("""COMPUTED_VALUE"""),"LVBI11")</f>
        <v>LVBI11</v>
      </c>
      <c r="B486" s="12">
        <f>IFERROR(__xludf.DUMMYFUNCTION("""COMPUTED_VALUE"""),10)</f>
        <v>10</v>
      </c>
      <c r="C486" s="26">
        <f>IFERROR(__xludf.DUMMYFUNCTION("""COMPUTED_VALUE"""),1387.4312863)</f>
        <v>1387.4312863</v>
      </c>
      <c r="D486" s="27">
        <f>IFERROR(__xludf.DUMMYFUNCTION("""COMPUTED_VALUE"""),43832)</f>
        <v>43832</v>
      </c>
      <c r="I486" s="12"/>
      <c r="J486" s="34"/>
      <c r="N486" s="12"/>
      <c r="O486" s="12"/>
    </row>
    <row r="487" ht="12.75" spans="1:15">
      <c r="A487" s="12" t="str">
        <f>IFERROR(__xludf.DUMMYFUNCTION("""COMPUTED_VALUE"""),"XPML11")</f>
        <v>XPML11</v>
      </c>
      <c r="B487" s="12">
        <f>IFERROR(__xludf.DUMMYFUNCTION("""COMPUTED_VALUE"""),10)</f>
        <v>10</v>
      </c>
      <c r="C487" s="26">
        <f>IFERROR(__xludf.DUMMYFUNCTION("""COMPUTED_VALUE"""),1402.63546478)</f>
        <v>1402.63546478</v>
      </c>
      <c r="D487" s="27">
        <f>IFERROR(__xludf.DUMMYFUNCTION("""COMPUTED_VALUE"""),43832)</f>
        <v>43832</v>
      </c>
      <c r="I487" s="12"/>
      <c r="J487" s="34"/>
      <c r="N487" s="12"/>
      <c r="O487" s="12"/>
    </row>
    <row r="488" ht="12.75" spans="1:15">
      <c r="A488" s="12" t="str">
        <f>IFERROR(__xludf.DUMMYFUNCTION("""COMPUTED_VALUE"""),"BBPO11")</f>
        <v>BBPO11</v>
      </c>
      <c r="B488" s="12">
        <f>IFERROR(__xludf.DUMMYFUNCTION("""COMPUTED_VALUE"""),10)</f>
        <v>10</v>
      </c>
      <c r="C488" s="26">
        <f>IFERROR(__xludf.DUMMYFUNCTION("""COMPUTED_VALUE"""),1695.12)</f>
        <v>1695.12</v>
      </c>
      <c r="D488" s="27">
        <f>IFERROR(__xludf.DUMMYFUNCTION("""COMPUTED_VALUE"""),43836)</f>
        <v>43836</v>
      </c>
      <c r="I488" s="12"/>
      <c r="J488" s="34"/>
      <c r="N488" s="12"/>
      <c r="O488" s="12"/>
    </row>
    <row r="489" ht="12.75" spans="1:15">
      <c r="A489" s="12" t="str">
        <f>IFERROR(__xludf.DUMMYFUNCTION("""COMPUTED_VALUE"""),"HFOF11")</f>
        <v>HFOF11</v>
      </c>
      <c r="B489" s="12">
        <f>IFERROR(__xludf.DUMMYFUNCTION("""COMPUTED_VALUE"""),10)</f>
        <v>10</v>
      </c>
      <c r="C489" s="26">
        <f>IFERROR(__xludf.DUMMYFUNCTION("""COMPUTED_VALUE"""),1270.203872588)</f>
        <v>1270.203872588</v>
      </c>
      <c r="D489" s="27">
        <f>IFERROR(__xludf.DUMMYFUNCTION("""COMPUTED_VALUE"""),43836)</f>
        <v>43836</v>
      </c>
      <c r="I489" s="12"/>
      <c r="J489" s="34"/>
      <c r="N489" s="12"/>
      <c r="O489" s="12"/>
    </row>
    <row r="490" ht="12.75" spans="1:15">
      <c r="A490" s="12" t="str">
        <f>IFERROR(__xludf.DUMMYFUNCTION("""COMPUTED_VALUE"""),"IRDM11")</f>
        <v>IRDM11</v>
      </c>
      <c r="B490" s="12">
        <f>IFERROR(__xludf.DUMMYFUNCTION("""COMPUTED_VALUE"""),10)</f>
        <v>10</v>
      </c>
      <c r="C490" s="26">
        <f>IFERROR(__xludf.DUMMYFUNCTION("""COMPUTED_VALUE"""),1418.33978070999)</f>
        <v>1418.33978070999</v>
      </c>
      <c r="D490" s="27">
        <f>IFERROR(__xludf.DUMMYFUNCTION("""COMPUTED_VALUE"""),43836)</f>
        <v>43836</v>
      </c>
      <c r="I490" s="12"/>
      <c r="J490" s="34"/>
      <c r="N490" s="12"/>
      <c r="O490" s="12"/>
    </row>
    <row r="491" ht="12.75" spans="1:15">
      <c r="A491" s="12" t="str">
        <f>IFERROR(__xludf.DUMMYFUNCTION("""COMPUTED_VALUE"""),"SPTW11")</f>
        <v>SPTW11</v>
      </c>
      <c r="B491" s="12">
        <f>IFERROR(__xludf.DUMMYFUNCTION("""COMPUTED_VALUE"""),10)</f>
        <v>10</v>
      </c>
      <c r="C491" s="26">
        <f>IFERROR(__xludf.DUMMYFUNCTION("""COMPUTED_VALUE"""),850.263665)</f>
        <v>850.263665</v>
      </c>
      <c r="D491" s="27">
        <f>IFERROR(__xludf.DUMMYFUNCTION("""COMPUTED_VALUE"""),43838)</f>
        <v>43838</v>
      </c>
      <c r="I491" s="12"/>
      <c r="J491" s="34"/>
      <c r="N491" s="12"/>
      <c r="O491" s="12"/>
    </row>
    <row r="492" ht="12.75" spans="1:15">
      <c r="A492" s="12" t="str">
        <f>IFERROR(__xludf.DUMMYFUNCTION("""COMPUTED_VALUE"""),"HGCR11")</f>
        <v>HGCR11</v>
      </c>
      <c r="B492" s="12">
        <f>IFERROR(__xludf.DUMMYFUNCTION("""COMPUTED_VALUE"""),5)</f>
        <v>5</v>
      </c>
      <c r="C492" s="26">
        <f>IFERROR(__xludf.DUMMYFUNCTION("""COMPUTED_VALUE"""),624.59164756)</f>
        <v>624.59164756</v>
      </c>
      <c r="D492" s="27">
        <f>IFERROR(__xludf.DUMMYFUNCTION("""COMPUTED_VALUE"""),43839)</f>
        <v>43839</v>
      </c>
      <c r="I492" s="12"/>
      <c r="J492" s="34"/>
      <c r="N492" s="12"/>
      <c r="O492" s="12"/>
    </row>
    <row r="493" ht="12.75" spans="1:15">
      <c r="A493" s="12" t="str">
        <f>IFERROR(__xludf.DUMMYFUNCTION("""COMPUTED_VALUE"""),"MGFF11")</f>
        <v>MGFF11</v>
      </c>
      <c r="B493" s="12">
        <f>IFERROR(__xludf.DUMMYFUNCTION("""COMPUTED_VALUE"""),5)</f>
        <v>5</v>
      </c>
      <c r="C493" s="26">
        <f>IFERROR(__xludf.DUMMYFUNCTION("""COMPUTED_VALUE"""),588.631764905)</f>
        <v>588.631764905</v>
      </c>
      <c r="D493" s="27">
        <f>IFERROR(__xludf.DUMMYFUNCTION("""COMPUTED_VALUE"""),43839)</f>
        <v>43839</v>
      </c>
      <c r="I493" s="12"/>
      <c r="J493" s="34"/>
      <c r="N493" s="12"/>
      <c r="O493" s="12"/>
    </row>
    <row r="494" ht="12.75" spans="1:15">
      <c r="A494" s="12" t="str">
        <f>IFERROR(__xludf.DUMMYFUNCTION("""COMPUTED_VALUE"""),"XPML11")</f>
        <v>XPML11</v>
      </c>
      <c r="B494" s="12">
        <f>IFERROR(__xludf.DUMMYFUNCTION("""COMPUTED_VALUE"""),5)</f>
        <v>5</v>
      </c>
      <c r="C494" s="26">
        <f>IFERROR(__xludf.DUMMYFUNCTION("""COMPUTED_VALUE"""),707.72502745)</f>
        <v>707.72502745</v>
      </c>
      <c r="D494" s="27">
        <f>IFERROR(__xludf.DUMMYFUNCTION("""COMPUTED_VALUE"""),43839)</f>
        <v>43839</v>
      </c>
      <c r="I494" s="12"/>
      <c r="J494" s="34"/>
      <c r="N494" s="12"/>
      <c r="O494" s="12"/>
    </row>
    <row r="495" ht="12.75" spans="1:15">
      <c r="A495" s="12" t="str">
        <f>IFERROR(__xludf.DUMMYFUNCTION("""COMPUTED_VALUE"""),"BBPO11")</f>
        <v>BBPO11</v>
      </c>
      <c r="B495" s="12">
        <f>IFERROR(__xludf.DUMMYFUNCTION("""COMPUTED_VALUE"""),10)</f>
        <v>10</v>
      </c>
      <c r="C495" s="26">
        <f>IFERROR(__xludf.DUMMYFUNCTION("""COMPUTED_VALUE"""),1578.401866874)</f>
        <v>1578.401866874</v>
      </c>
      <c r="D495" s="27">
        <f>IFERROR(__xludf.DUMMYFUNCTION("""COMPUTED_VALUE"""),43801)</f>
        <v>43801</v>
      </c>
      <c r="I495" s="12"/>
      <c r="J495" s="34"/>
      <c r="N495" s="12"/>
      <c r="O495" s="12"/>
    </row>
    <row r="496" ht="12.75" spans="1:15">
      <c r="A496" s="12" t="str">
        <f>IFERROR(__xludf.DUMMYFUNCTION("""COMPUTED_VALUE"""),"HGCR11")</f>
        <v>HGCR11</v>
      </c>
      <c r="B496" s="12">
        <f>IFERROR(__xludf.DUMMYFUNCTION("""COMPUTED_VALUE"""),10)</f>
        <v>10</v>
      </c>
      <c r="C496" s="26">
        <f>IFERROR(__xludf.DUMMYFUNCTION("""COMPUTED_VALUE"""),1178.070829532)</f>
        <v>1178.070829532</v>
      </c>
      <c r="D496" s="27">
        <f>IFERROR(__xludf.DUMMYFUNCTION("""COMPUTED_VALUE"""),43801)</f>
        <v>43801</v>
      </c>
      <c r="I496" s="12"/>
      <c r="J496" s="34"/>
      <c r="N496" s="12"/>
      <c r="O496" s="12"/>
    </row>
    <row r="497" ht="12.75" spans="1:15">
      <c r="A497" s="12" t="str">
        <f>IFERROR(__xludf.DUMMYFUNCTION("""COMPUTED_VALUE"""),"HGBS11")</f>
        <v>HGBS11</v>
      </c>
      <c r="B497" s="12">
        <f>IFERROR(__xludf.DUMMYFUNCTION("""COMPUTED_VALUE"""),10)</f>
        <v>10</v>
      </c>
      <c r="C497" s="26">
        <f>IFERROR(__xludf.DUMMYFUNCTION("""COMPUTED_VALUE"""),2844.304371804)</f>
        <v>2844.304371804</v>
      </c>
      <c r="D497" s="27">
        <f>IFERROR(__xludf.DUMMYFUNCTION("""COMPUTED_VALUE"""),43801)</f>
        <v>43801</v>
      </c>
      <c r="I497" s="12"/>
      <c r="J497" s="34"/>
      <c r="N497" s="12"/>
      <c r="O497" s="12"/>
    </row>
    <row r="498" ht="12.75" spans="1:15">
      <c r="A498" s="12" t="str">
        <f>IFERROR(__xludf.DUMMYFUNCTION("""COMPUTED_VALUE"""),"HGLG11")</f>
        <v>HGLG11</v>
      </c>
      <c r="B498" s="12">
        <f>IFERROR(__xludf.DUMMYFUNCTION("""COMPUTED_VALUE"""),10)</f>
        <v>10</v>
      </c>
      <c r="C498" s="26">
        <f>IFERROR(__xludf.DUMMYFUNCTION("""COMPUTED_VALUE"""),1807.474702614)</f>
        <v>1807.474702614</v>
      </c>
      <c r="D498" s="27">
        <f>IFERROR(__xludf.DUMMYFUNCTION("""COMPUTED_VALUE"""),43801)</f>
        <v>43801</v>
      </c>
      <c r="I498" s="12"/>
      <c r="J498" s="34"/>
      <c r="N498" s="12"/>
      <c r="O498" s="12"/>
    </row>
    <row r="499" ht="12.75" spans="1:15">
      <c r="A499" s="12" t="str">
        <f>IFERROR(__xludf.DUMMYFUNCTION("""COMPUTED_VALUE"""),"HGRE11")</f>
        <v>HGRE11</v>
      </c>
      <c r="B499" s="12">
        <f>IFERROR(__xludf.DUMMYFUNCTION("""COMPUTED_VALUE"""),10)</f>
        <v>10</v>
      </c>
      <c r="C499" s="26">
        <f>IFERROR(__xludf.DUMMYFUNCTION("""COMPUTED_VALUE"""),1679.53402274)</f>
        <v>1679.53402274</v>
      </c>
      <c r="D499" s="27">
        <f>IFERROR(__xludf.DUMMYFUNCTION("""COMPUTED_VALUE"""),43801)</f>
        <v>43801</v>
      </c>
      <c r="I499" s="12"/>
      <c r="J499" s="34"/>
      <c r="N499" s="12"/>
      <c r="O499" s="12"/>
    </row>
    <row r="500" ht="12.75" spans="1:15">
      <c r="A500" s="12" t="str">
        <f>IFERROR(__xludf.DUMMYFUNCTION("""COMPUTED_VALUE"""),"LVBI11")</f>
        <v>LVBI11</v>
      </c>
      <c r="B500" s="12">
        <f>IFERROR(__xludf.DUMMYFUNCTION("""COMPUTED_VALUE"""),10)</f>
        <v>10</v>
      </c>
      <c r="C500" s="26">
        <f>IFERROR(__xludf.DUMMYFUNCTION("""COMPUTED_VALUE"""),1210.28482079399)</f>
        <v>1210.28482079399</v>
      </c>
      <c r="D500" s="27">
        <f>IFERROR(__xludf.DUMMYFUNCTION("""COMPUTED_VALUE"""),43801)</f>
        <v>43801</v>
      </c>
      <c r="I500" s="12"/>
      <c r="J500" s="34"/>
      <c r="N500" s="12"/>
      <c r="O500" s="12"/>
    </row>
    <row r="501" ht="12.75" spans="1:15">
      <c r="A501" s="12" t="str">
        <f>IFERROR(__xludf.DUMMYFUNCTION("""COMPUTED_VALUE"""),"SAAG11")</f>
        <v>SAAG11</v>
      </c>
      <c r="B501" s="12">
        <f>IFERROR(__xludf.DUMMYFUNCTION("""COMPUTED_VALUE"""),10)</f>
        <v>10</v>
      </c>
      <c r="C501" s="26">
        <f>IFERROR(__xludf.DUMMYFUNCTION("""COMPUTED_VALUE"""),1304.214686628)</f>
        <v>1304.214686628</v>
      </c>
      <c r="D501" s="27">
        <f>IFERROR(__xludf.DUMMYFUNCTION("""COMPUTED_VALUE"""),43801)</f>
        <v>43801</v>
      </c>
      <c r="I501" s="12"/>
      <c r="J501" s="34"/>
      <c r="N501" s="12"/>
      <c r="O501" s="12"/>
    </row>
    <row r="502" ht="12.75" spans="1:15">
      <c r="A502" s="12" t="str">
        <f>IFERROR(__xludf.DUMMYFUNCTION("""COMPUTED_VALUE"""),"SPTW11")</f>
        <v>SPTW11</v>
      </c>
      <c r="B502" s="12">
        <f>IFERROR(__xludf.DUMMYFUNCTION("""COMPUTED_VALUE"""),30)</f>
        <v>30</v>
      </c>
      <c r="C502" s="26">
        <f>IFERROR(__xludf.DUMMYFUNCTION("""COMPUTED_VALUE"""),2991.351126624)</f>
        <v>2991.351126624</v>
      </c>
      <c r="D502" s="27">
        <f>IFERROR(__xludf.DUMMYFUNCTION("""COMPUTED_VALUE"""),43801)</f>
        <v>43801</v>
      </c>
      <c r="I502" s="12"/>
      <c r="J502" s="34"/>
      <c r="N502" s="12"/>
      <c r="O502" s="12"/>
    </row>
    <row r="503" ht="12.75" spans="1:15">
      <c r="A503" s="12" t="str">
        <f>IFERROR(__xludf.DUMMYFUNCTION("""COMPUTED_VALUE"""),"SPTW11")</f>
        <v>SPTW11</v>
      </c>
      <c r="B503" s="12">
        <f>IFERROR(__xludf.DUMMYFUNCTION("""COMPUTED_VALUE"""),10)</f>
        <v>10</v>
      </c>
      <c r="C503" s="26">
        <f>IFERROR(__xludf.DUMMYFUNCTION("""COMPUTED_VALUE"""),982.312334919999)</f>
        <v>982.312334919999</v>
      </c>
      <c r="D503" s="27">
        <f>IFERROR(__xludf.DUMMYFUNCTION("""COMPUTED_VALUE"""),43801)</f>
        <v>43801</v>
      </c>
      <c r="I503" s="12"/>
      <c r="J503" s="34"/>
      <c r="N503" s="12"/>
      <c r="O503" s="12"/>
    </row>
    <row r="504" ht="12.75" spans="1:15">
      <c r="A504" s="12" t="str">
        <f>IFERROR(__xludf.DUMMYFUNCTION("""COMPUTED_VALUE"""),"SPTW11")</f>
        <v>SPTW11</v>
      </c>
      <c r="B504" s="12">
        <f>IFERROR(__xludf.DUMMYFUNCTION("""COMPUTED_VALUE"""),16)</f>
        <v>16</v>
      </c>
      <c r="C504" s="26">
        <f>IFERROR(__xludf.DUMMYFUNCTION("""COMPUTED_VALUE"""),1568.49871808)</f>
        <v>1568.49871808</v>
      </c>
      <c r="D504" s="27">
        <f>IFERROR(__xludf.DUMMYFUNCTION("""COMPUTED_VALUE"""),43801)</f>
        <v>43801</v>
      </c>
      <c r="I504" s="12"/>
      <c r="J504" s="34"/>
      <c r="N504" s="12"/>
      <c r="O504" s="12"/>
    </row>
    <row r="505" ht="12.75" spans="1:15">
      <c r="A505" s="12" t="str">
        <f>IFERROR(__xludf.DUMMYFUNCTION("""COMPUTED_VALUE"""),"XPML11")</f>
        <v>XPML11</v>
      </c>
      <c r="B505" s="12">
        <f>IFERROR(__xludf.DUMMYFUNCTION("""COMPUTED_VALUE"""),10)</f>
        <v>10</v>
      </c>
      <c r="C505" s="26">
        <f>IFERROR(__xludf.DUMMYFUNCTION("""COMPUTED_VALUE"""),1234.19242242799)</f>
        <v>1234.19242242799</v>
      </c>
      <c r="D505" s="27">
        <f>IFERROR(__xludf.DUMMYFUNCTION("""COMPUTED_VALUE"""),43801)</f>
        <v>43801</v>
      </c>
      <c r="I505" s="12"/>
      <c r="J505" s="34"/>
      <c r="N505" s="12"/>
      <c r="O505" s="12"/>
    </row>
    <row r="506" ht="12.75" spans="1:15">
      <c r="A506" s="12" t="str">
        <f>IFERROR(__xludf.DUMMYFUNCTION("""COMPUTED_VALUE"""),"BBPO11")</f>
        <v>BBPO11</v>
      </c>
      <c r="B506" s="12">
        <f>IFERROR(__xludf.DUMMYFUNCTION("""COMPUTED_VALUE"""),5)</f>
        <v>5</v>
      </c>
      <c r="C506" s="26">
        <f>IFERROR(__xludf.DUMMYFUNCTION("""COMPUTED_VALUE"""),790.201251497)</f>
        <v>790.201251497</v>
      </c>
      <c r="D506" s="27">
        <f>IFERROR(__xludf.DUMMYFUNCTION("""COMPUTED_VALUE"""),43802)</f>
        <v>43802</v>
      </c>
      <c r="I506" s="12"/>
      <c r="J506" s="34"/>
      <c r="N506" s="12"/>
      <c r="O506" s="12"/>
    </row>
    <row r="507" ht="12.75" spans="1:15">
      <c r="A507" s="12" t="str">
        <f>IFERROR(__xludf.DUMMYFUNCTION("""COMPUTED_VALUE"""),"HFOF11")</f>
        <v>HFOF11</v>
      </c>
      <c r="B507" s="12">
        <f>IFERROR(__xludf.DUMMYFUNCTION("""COMPUTED_VALUE"""),10)</f>
        <v>10</v>
      </c>
      <c r="C507" s="26">
        <f>IFERROR(__xludf.DUMMYFUNCTION("""COMPUTED_VALUE"""),1087.34573122)</f>
        <v>1087.34573122</v>
      </c>
      <c r="D507" s="27">
        <f>IFERROR(__xludf.DUMMYFUNCTION("""COMPUTED_VALUE"""),43801)</f>
        <v>43801</v>
      </c>
      <c r="I507" s="12"/>
      <c r="J507" s="34"/>
      <c r="N507" s="12"/>
      <c r="O507" s="12"/>
    </row>
    <row r="508" ht="12.75" spans="1:15">
      <c r="A508" s="12" t="str">
        <f>IFERROR(__xludf.DUMMYFUNCTION("""COMPUTED_VALUE"""),"HGBS11")</f>
        <v>HGBS11</v>
      </c>
      <c r="B508" s="12">
        <f>IFERROR(__xludf.DUMMYFUNCTION("""COMPUTED_VALUE"""),5)</f>
        <v>5</v>
      </c>
      <c r="C508" s="26">
        <f>IFERROR(__xludf.DUMMYFUNCTION("""COMPUTED_VALUE"""),1427.39226855499)</f>
        <v>1427.39226855499</v>
      </c>
      <c r="D508" s="27">
        <f>IFERROR(__xludf.DUMMYFUNCTION("""COMPUTED_VALUE"""),43802)</f>
        <v>43802</v>
      </c>
      <c r="I508" s="12"/>
      <c r="J508" s="34"/>
      <c r="N508" s="12"/>
      <c r="O508" s="12"/>
    </row>
    <row r="509" ht="12.75" spans="1:15">
      <c r="A509" s="12" t="str">
        <f>IFERROR(__xludf.DUMMYFUNCTION("""COMPUTED_VALUE"""),"HFOF11")</f>
        <v>HFOF11</v>
      </c>
      <c r="B509" s="12">
        <f>IFERROR(__xludf.DUMMYFUNCTION("""COMPUTED_VALUE"""),5)</f>
        <v>5</v>
      </c>
      <c r="C509" s="26">
        <f>IFERROR(__xludf.DUMMYFUNCTION("""COMPUTED_VALUE"""),539.421513855)</f>
        <v>539.421513855</v>
      </c>
      <c r="D509" s="27">
        <f>IFERROR(__xludf.DUMMYFUNCTION("""COMPUTED_VALUE"""),43802)</f>
        <v>43802</v>
      </c>
      <c r="I509" s="12"/>
      <c r="J509" s="34"/>
      <c r="N509" s="12"/>
      <c r="O509" s="12"/>
    </row>
    <row r="510" ht="12.75" spans="1:15">
      <c r="A510" s="12" t="str">
        <f>IFERROR(__xludf.DUMMYFUNCTION("""COMPUTED_VALUE"""),"SAAG11")</f>
        <v>SAAG11</v>
      </c>
      <c r="B510" s="12">
        <f>IFERROR(__xludf.DUMMYFUNCTION("""COMPUTED_VALUE"""),5)</f>
        <v>5</v>
      </c>
      <c r="C510" s="26">
        <f>IFERROR(__xludf.DUMMYFUNCTION("""COMPUTED_VALUE"""),655.2000595)</f>
        <v>655.2000595</v>
      </c>
      <c r="D510" s="27">
        <f>IFERROR(__xludf.DUMMYFUNCTION("""COMPUTED_VALUE"""),43802)</f>
        <v>43802</v>
      </c>
      <c r="I510" s="12"/>
      <c r="J510" s="34"/>
      <c r="N510" s="12"/>
      <c r="O510" s="12"/>
    </row>
    <row r="511" ht="12.75" spans="1:15">
      <c r="A511" s="12" t="str">
        <f>IFERROR(__xludf.DUMMYFUNCTION("""COMPUTED_VALUE"""),"IRDM11")</f>
        <v>IRDM11</v>
      </c>
      <c r="B511" s="12">
        <f>IFERROR(__xludf.DUMMYFUNCTION("""COMPUTED_VALUE"""),10)</f>
        <v>10</v>
      </c>
      <c r="C511" s="26">
        <f>IFERROR(__xludf.DUMMYFUNCTION("""COMPUTED_VALUE"""),1247.38280029999)</f>
        <v>1247.38280029999</v>
      </c>
      <c r="D511" s="27">
        <f>IFERROR(__xludf.DUMMYFUNCTION("""COMPUTED_VALUE"""),43803)</f>
        <v>43803</v>
      </c>
      <c r="I511" s="12"/>
      <c r="J511" s="34"/>
      <c r="N511" s="12"/>
      <c r="O511" s="12"/>
    </row>
    <row r="512" ht="12.75" spans="1:15">
      <c r="A512" s="12" t="str">
        <f>IFERROR(__xludf.DUMMYFUNCTION("""COMPUTED_VALUE"""),"MGFF11")</f>
        <v>MGFF11</v>
      </c>
      <c r="B512" s="12">
        <f>IFERROR(__xludf.DUMMYFUNCTION("""COMPUTED_VALUE"""),15)</f>
        <v>15</v>
      </c>
      <c r="C512" s="26">
        <f>IFERROR(__xludf.DUMMYFUNCTION("""COMPUTED_VALUE"""),1643.76172942499)</f>
        <v>1643.76172942499</v>
      </c>
      <c r="D512" s="27">
        <f>IFERROR(__xludf.DUMMYFUNCTION("""COMPUTED_VALUE"""),43808)</f>
        <v>43808</v>
      </c>
      <c r="I512" s="12"/>
      <c r="J512" s="34"/>
      <c r="N512" s="12"/>
      <c r="O512" s="12"/>
    </row>
    <row r="513" ht="12.75" spans="1:15">
      <c r="A513" s="12"/>
      <c r="B513" s="12"/>
      <c r="C513" s="26"/>
      <c r="D513" s="27"/>
      <c r="I513" s="12"/>
      <c r="J513" s="34"/>
      <c r="N513" s="12"/>
      <c r="O513" s="12"/>
    </row>
    <row r="514" ht="12.75" spans="1:15">
      <c r="A514" s="12"/>
      <c r="B514" s="12"/>
      <c r="C514" s="26"/>
      <c r="D514" s="27"/>
      <c r="I514" s="12"/>
      <c r="J514" s="34"/>
      <c r="N514" s="12"/>
      <c r="O514" s="12"/>
    </row>
    <row r="515" ht="12.75" spans="1:15">
      <c r="A515" s="12"/>
      <c r="B515" s="12"/>
      <c r="C515" s="26"/>
      <c r="D515" s="27"/>
      <c r="I515" s="12"/>
      <c r="J515" s="34"/>
      <c r="N515" s="12"/>
      <c r="O515" s="12"/>
    </row>
    <row r="516" ht="12.75" spans="1:15">
      <c r="A516" s="12"/>
      <c r="B516" s="12"/>
      <c r="C516" s="26"/>
      <c r="D516" s="27"/>
      <c r="I516" s="12"/>
      <c r="J516" s="34"/>
      <c r="N516" s="12"/>
      <c r="O516" s="12"/>
    </row>
    <row r="517" ht="12.75" spans="1:15">
      <c r="A517" s="12"/>
      <c r="B517" s="12"/>
      <c r="C517" s="26"/>
      <c r="D517" s="27"/>
      <c r="I517" s="12"/>
      <c r="J517" s="34"/>
      <c r="N517" s="12"/>
      <c r="O517" s="12"/>
    </row>
    <row r="518" ht="12.75" spans="1:15">
      <c r="A518" s="12"/>
      <c r="B518" s="12"/>
      <c r="C518" s="26"/>
      <c r="D518" s="27"/>
      <c r="I518" s="12"/>
      <c r="J518" s="34"/>
      <c r="N518" s="12"/>
      <c r="O518" s="12"/>
    </row>
    <row r="519" ht="12.75" spans="1:15">
      <c r="A519" s="12"/>
      <c r="B519" s="12"/>
      <c r="C519" s="26"/>
      <c r="D519" s="27"/>
      <c r="I519" s="12"/>
      <c r="J519" s="34"/>
      <c r="N519" s="12"/>
      <c r="O519" s="12"/>
    </row>
    <row r="520" ht="12.75" spans="1:15">
      <c r="A520" s="12"/>
      <c r="B520" s="12"/>
      <c r="C520" s="26"/>
      <c r="D520" s="27"/>
      <c r="I520" s="12"/>
      <c r="J520" s="34"/>
      <c r="N520" s="12"/>
      <c r="O520" s="12"/>
    </row>
    <row r="521" ht="12.75" spans="1:15">
      <c r="A521" s="12"/>
      <c r="B521" s="12"/>
      <c r="C521" s="26"/>
      <c r="D521" s="27"/>
      <c r="I521" s="12"/>
      <c r="J521" s="34"/>
      <c r="N521" s="12"/>
      <c r="O521" s="12"/>
    </row>
    <row r="522" ht="12.75" spans="1:15">
      <c r="A522" s="12"/>
      <c r="B522" s="12"/>
      <c r="C522" s="26"/>
      <c r="D522" s="27"/>
      <c r="I522" s="12"/>
      <c r="J522" s="34"/>
      <c r="N522" s="12"/>
      <c r="O522" s="12"/>
    </row>
    <row r="523" ht="12.75" spans="1:15">
      <c r="A523" s="12"/>
      <c r="B523" s="12"/>
      <c r="C523" s="26"/>
      <c r="D523" s="27"/>
      <c r="I523" s="12"/>
      <c r="J523" s="34"/>
      <c r="N523" s="12"/>
      <c r="O523" s="12"/>
    </row>
    <row r="524" ht="12.75" spans="1:15">
      <c r="A524" s="12"/>
      <c r="B524" s="12"/>
      <c r="C524" s="26"/>
      <c r="D524" s="27"/>
      <c r="I524" s="12"/>
      <c r="J524" s="34"/>
      <c r="N524" s="12"/>
      <c r="O524" s="12"/>
    </row>
    <row r="525" ht="12.75" spans="1:15">
      <c r="A525" s="12"/>
      <c r="B525" s="12"/>
      <c r="C525" s="26"/>
      <c r="D525" s="27"/>
      <c r="I525" s="12"/>
      <c r="J525" s="34"/>
      <c r="N525" s="12"/>
      <c r="O525" s="12"/>
    </row>
    <row r="526" ht="12.75" spans="1:15">
      <c r="A526" s="12"/>
      <c r="B526" s="12"/>
      <c r="C526" s="26"/>
      <c r="D526" s="27"/>
      <c r="I526" s="12"/>
      <c r="J526" s="34"/>
      <c r="N526" s="12"/>
      <c r="O526" s="12"/>
    </row>
    <row r="527" ht="12.75" spans="1:15">
      <c r="A527" s="12"/>
      <c r="B527" s="12"/>
      <c r="C527" s="26"/>
      <c r="D527" s="27"/>
      <c r="I527" s="12"/>
      <c r="J527" s="34"/>
      <c r="N527" s="12"/>
      <c r="O527" s="12"/>
    </row>
    <row r="528" ht="12.75" spans="1:15">
      <c r="A528" s="12"/>
      <c r="B528" s="12"/>
      <c r="C528" s="26"/>
      <c r="D528" s="27"/>
      <c r="I528" s="12"/>
      <c r="J528" s="34"/>
      <c r="N528" s="12"/>
      <c r="O528" s="12"/>
    </row>
    <row r="529" ht="12.75" spans="1:15">
      <c r="A529" s="12"/>
      <c r="B529" s="12"/>
      <c r="C529" s="26"/>
      <c r="D529" s="27"/>
      <c r="I529" s="12"/>
      <c r="J529" s="34"/>
      <c r="N529" s="12"/>
      <c r="O529" s="12"/>
    </row>
    <row r="530" ht="12.75" spans="1:15">
      <c r="A530" s="12"/>
      <c r="B530" s="12"/>
      <c r="C530" s="26"/>
      <c r="D530" s="27"/>
      <c r="I530" s="12"/>
      <c r="J530" s="34"/>
      <c r="N530" s="12"/>
      <c r="O530" s="12"/>
    </row>
    <row r="531" ht="12.75" spans="1:15">
      <c r="A531" s="12"/>
      <c r="B531" s="12"/>
      <c r="C531" s="26"/>
      <c r="D531" s="27"/>
      <c r="I531" s="12"/>
      <c r="J531" s="34"/>
      <c r="N531" s="12"/>
      <c r="O531" s="12"/>
    </row>
    <row r="532" ht="12.75" spans="1:15">
      <c r="A532" s="12"/>
      <c r="B532" s="12"/>
      <c r="C532" s="26"/>
      <c r="D532" s="27"/>
      <c r="I532" s="12"/>
      <c r="J532" s="34"/>
      <c r="N532" s="12"/>
      <c r="O532" s="12"/>
    </row>
    <row r="533" ht="12.75" spans="1:15">
      <c r="A533" s="12"/>
      <c r="B533" s="12"/>
      <c r="C533" s="26"/>
      <c r="D533" s="27"/>
      <c r="I533" s="12"/>
      <c r="J533" s="34"/>
      <c r="N533" s="12"/>
      <c r="O533" s="12"/>
    </row>
    <row r="534" ht="12.75" spans="1:15">
      <c r="A534" s="12"/>
      <c r="B534" s="12"/>
      <c r="C534" s="26"/>
      <c r="D534" s="27"/>
      <c r="I534" s="12"/>
      <c r="J534" s="34"/>
      <c r="N534" s="12"/>
      <c r="O534" s="12"/>
    </row>
    <row r="535" ht="12.75" spans="1:15">
      <c r="A535" s="12"/>
      <c r="B535" s="12"/>
      <c r="C535" s="26"/>
      <c r="D535" s="27"/>
      <c r="I535" s="12"/>
      <c r="J535" s="34"/>
      <c r="N535" s="12"/>
      <c r="O535" s="12"/>
    </row>
    <row r="536" ht="12.75" spans="1:15">
      <c r="A536" s="12"/>
      <c r="B536" s="12"/>
      <c r="C536" s="26"/>
      <c r="D536" s="27"/>
      <c r="I536" s="12"/>
      <c r="J536" s="34"/>
      <c r="N536" s="12"/>
      <c r="O536" s="12"/>
    </row>
    <row r="537" ht="12.75" spans="1:15">
      <c r="A537" s="12"/>
      <c r="B537" s="12"/>
      <c r="C537" s="26"/>
      <c r="D537" s="27"/>
      <c r="I537" s="12"/>
      <c r="J537" s="34"/>
      <c r="N537" s="12"/>
      <c r="O537" s="12"/>
    </row>
    <row r="538" ht="12.75" spans="1:15">
      <c r="A538" s="12"/>
      <c r="B538" s="12"/>
      <c r="C538" s="26"/>
      <c r="D538" s="27"/>
      <c r="I538" s="12"/>
      <c r="J538" s="34"/>
      <c r="N538" s="12"/>
      <c r="O538" s="12"/>
    </row>
    <row r="539" ht="12.75" spans="1:15">
      <c r="A539" s="12"/>
      <c r="B539" s="12"/>
      <c r="C539" s="26"/>
      <c r="D539" s="27"/>
      <c r="I539" s="12"/>
      <c r="J539" s="34"/>
      <c r="N539" s="12"/>
      <c r="O539" s="12"/>
    </row>
    <row r="540" ht="12.75" spans="1:15">
      <c r="A540" s="12"/>
      <c r="B540" s="12"/>
      <c r="C540" s="26"/>
      <c r="D540" s="27"/>
      <c r="I540" s="12"/>
      <c r="J540" s="34"/>
      <c r="N540" s="12"/>
      <c r="O540" s="12"/>
    </row>
    <row r="541" ht="12.75" spans="1:15">
      <c r="A541" s="12"/>
      <c r="B541" s="12"/>
      <c r="C541" s="26"/>
      <c r="D541" s="27"/>
      <c r="I541" s="12"/>
      <c r="J541" s="34"/>
      <c r="N541" s="12"/>
      <c r="O541" s="12"/>
    </row>
    <row r="542" ht="12.75" spans="1:15">
      <c r="A542" s="12"/>
      <c r="B542" s="12"/>
      <c r="C542" s="26"/>
      <c r="D542" s="27"/>
      <c r="I542" s="12"/>
      <c r="J542" s="34"/>
      <c r="N542" s="12"/>
      <c r="O542" s="12"/>
    </row>
    <row r="543" ht="12.75" spans="1:15">
      <c r="A543" s="12"/>
      <c r="B543" s="12"/>
      <c r="C543" s="26"/>
      <c r="D543" s="27"/>
      <c r="I543" s="12"/>
      <c r="J543" s="34"/>
      <c r="N543" s="12"/>
      <c r="O543" s="12"/>
    </row>
    <row r="544" ht="12.75" spans="1:15">
      <c r="A544" s="12"/>
      <c r="B544" s="12"/>
      <c r="C544" s="26"/>
      <c r="D544" s="27"/>
      <c r="I544" s="12"/>
      <c r="J544" s="34"/>
      <c r="N544" s="12"/>
      <c r="O544" s="12"/>
    </row>
    <row r="545" ht="12.75" spans="1:15">
      <c r="A545" s="12"/>
      <c r="B545" s="12"/>
      <c r="C545" s="26"/>
      <c r="D545" s="27"/>
      <c r="I545" s="12"/>
      <c r="J545" s="34"/>
      <c r="N545" s="12"/>
      <c r="O545" s="12"/>
    </row>
    <row r="546" ht="12.75" spans="1:15">
      <c r="A546" s="12"/>
      <c r="B546" s="12"/>
      <c r="C546" s="26"/>
      <c r="D546" s="27"/>
      <c r="I546" s="12"/>
      <c r="J546" s="34"/>
      <c r="N546" s="12"/>
      <c r="O546" s="12"/>
    </row>
    <row r="547" ht="12.75" spans="1:15">
      <c r="A547" s="12"/>
      <c r="B547" s="12"/>
      <c r="C547" s="26"/>
      <c r="D547" s="27"/>
      <c r="I547" s="12"/>
      <c r="J547" s="34"/>
      <c r="N547" s="12"/>
      <c r="O547" s="12"/>
    </row>
    <row r="548" ht="12.75" spans="1:15">
      <c r="A548" s="12"/>
      <c r="B548" s="12"/>
      <c r="C548" s="26"/>
      <c r="D548" s="27"/>
      <c r="I548" s="12"/>
      <c r="J548" s="34"/>
      <c r="N548" s="12"/>
      <c r="O548" s="12"/>
    </row>
    <row r="549" ht="12.75" spans="1:15">
      <c r="A549" s="12"/>
      <c r="B549" s="12"/>
      <c r="C549" s="26"/>
      <c r="D549" s="27"/>
      <c r="I549" s="12"/>
      <c r="J549" s="34"/>
      <c r="N549" s="12"/>
      <c r="O549" s="12"/>
    </row>
    <row r="550" ht="12.75" spans="1:15">
      <c r="A550" s="12"/>
      <c r="B550" s="12"/>
      <c r="C550" s="26"/>
      <c r="D550" s="27"/>
      <c r="I550" s="12"/>
      <c r="J550" s="34"/>
      <c r="N550" s="12"/>
      <c r="O550" s="12"/>
    </row>
    <row r="551" ht="12.75" spans="1:15">
      <c r="A551" s="12"/>
      <c r="B551" s="12"/>
      <c r="C551" s="26"/>
      <c r="D551" s="27"/>
      <c r="I551" s="12"/>
      <c r="J551" s="34"/>
      <c r="N551" s="12"/>
      <c r="O551" s="12"/>
    </row>
    <row r="552" ht="12.75" spans="1:15">
      <c r="A552" s="12"/>
      <c r="B552" s="12"/>
      <c r="C552" s="26"/>
      <c r="D552" s="27"/>
      <c r="I552" s="12"/>
      <c r="J552" s="34"/>
      <c r="N552" s="12"/>
      <c r="O552" s="12"/>
    </row>
    <row r="553" ht="12.75" spans="1:15">
      <c r="A553" s="12"/>
      <c r="B553" s="12"/>
      <c r="C553" s="26"/>
      <c r="D553" s="27"/>
      <c r="I553" s="12"/>
      <c r="J553" s="34"/>
      <c r="N553" s="12"/>
      <c r="O553" s="12"/>
    </row>
    <row r="554" ht="12.75" spans="1:15">
      <c r="A554" s="12"/>
      <c r="B554" s="12"/>
      <c r="C554" s="26"/>
      <c r="D554" s="27"/>
      <c r="I554" s="12"/>
      <c r="J554" s="34"/>
      <c r="N554" s="12"/>
      <c r="O554" s="12"/>
    </row>
    <row r="555" ht="12.75" spans="1:15">
      <c r="A555" s="12"/>
      <c r="B555" s="12"/>
      <c r="C555" s="26"/>
      <c r="D555" s="27"/>
      <c r="I555" s="12"/>
      <c r="J555" s="34"/>
      <c r="N555" s="12"/>
      <c r="O555" s="12"/>
    </row>
    <row r="556" ht="12.75" spans="1:15">
      <c r="A556" s="12"/>
      <c r="B556" s="12"/>
      <c r="C556" s="26"/>
      <c r="D556" s="27"/>
      <c r="I556" s="12"/>
      <c r="J556" s="34"/>
      <c r="N556" s="12"/>
      <c r="O556" s="12"/>
    </row>
    <row r="557" ht="12.75" spans="1:15">
      <c r="A557" s="12"/>
      <c r="B557" s="12"/>
      <c r="C557" s="26"/>
      <c r="D557" s="27"/>
      <c r="I557" s="12"/>
      <c r="J557" s="34"/>
      <c r="N557" s="12"/>
      <c r="O557" s="12"/>
    </row>
    <row r="558" ht="12.75" spans="1:15">
      <c r="A558" s="12"/>
      <c r="B558" s="12"/>
      <c r="C558" s="26"/>
      <c r="D558" s="27"/>
      <c r="I558" s="12"/>
      <c r="J558" s="34"/>
      <c r="N558" s="12"/>
      <c r="O558" s="12"/>
    </row>
    <row r="559" ht="12.75" spans="1:15">
      <c r="A559" s="12"/>
      <c r="B559" s="12"/>
      <c r="C559" s="26"/>
      <c r="D559" s="27"/>
      <c r="I559" s="12"/>
      <c r="J559" s="34"/>
      <c r="N559" s="12"/>
      <c r="O559" s="12"/>
    </row>
    <row r="560" ht="12.75" spans="1:15">
      <c r="A560" s="12"/>
      <c r="B560" s="12"/>
      <c r="C560" s="26"/>
      <c r="D560" s="27"/>
      <c r="I560" s="12"/>
      <c r="J560" s="34"/>
      <c r="N560" s="12"/>
      <c r="O560" s="12"/>
    </row>
    <row r="561" ht="12.75" spans="1:15">
      <c r="A561" s="12"/>
      <c r="B561" s="12"/>
      <c r="C561" s="26"/>
      <c r="D561" s="27"/>
      <c r="I561" s="12"/>
      <c r="J561" s="34"/>
      <c r="N561" s="12"/>
      <c r="O561" s="12"/>
    </row>
    <row r="562" ht="12.75" spans="1:15">
      <c r="A562" s="12"/>
      <c r="B562" s="12"/>
      <c r="C562" s="26"/>
      <c r="D562" s="27"/>
      <c r="I562" s="12"/>
      <c r="J562" s="34"/>
      <c r="N562" s="12"/>
      <c r="O562" s="12"/>
    </row>
    <row r="563" ht="12.75" spans="1:15">
      <c r="A563" s="12"/>
      <c r="B563" s="12"/>
      <c r="C563" s="26"/>
      <c r="D563" s="27"/>
      <c r="I563" s="12"/>
      <c r="J563" s="34"/>
      <c r="N563" s="12"/>
      <c r="O563" s="12"/>
    </row>
    <row r="564" ht="12.75" spans="1:15">
      <c r="A564" s="12"/>
      <c r="B564" s="12"/>
      <c r="C564" s="26"/>
      <c r="D564" s="27"/>
      <c r="I564" s="12"/>
      <c r="J564" s="34"/>
      <c r="N564" s="12"/>
      <c r="O564" s="12"/>
    </row>
    <row r="565" ht="12.75" spans="1:15">
      <c r="A565" s="12"/>
      <c r="B565" s="12"/>
      <c r="C565" s="26"/>
      <c r="D565" s="27"/>
      <c r="I565" s="12"/>
      <c r="J565" s="34"/>
      <c r="N565" s="12"/>
      <c r="O565" s="12"/>
    </row>
    <row r="566" ht="12.75" spans="1:15">
      <c r="A566" s="12"/>
      <c r="B566" s="12"/>
      <c r="C566" s="26"/>
      <c r="D566" s="27"/>
      <c r="I566" s="12"/>
      <c r="J566" s="34"/>
      <c r="N566" s="12"/>
      <c r="O566" s="12"/>
    </row>
    <row r="567" ht="12.75" spans="1:15">
      <c r="A567" s="12"/>
      <c r="B567" s="12"/>
      <c r="C567" s="26"/>
      <c r="D567" s="27"/>
      <c r="I567" s="12"/>
      <c r="J567" s="34"/>
      <c r="N567" s="12"/>
      <c r="O567" s="12"/>
    </row>
    <row r="568" ht="12.75" spans="1:15">
      <c r="A568" s="12"/>
      <c r="B568" s="12"/>
      <c r="C568" s="26"/>
      <c r="D568" s="27"/>
      <c r="I568" s="12"/>
      <c r="J568" s="34"/>
      <c r="N568" s="12"/>
      <c r="O568" s="12"/>
    </row>
    <row r="569" ht="12.75" spans="1:15">
      <c r="A569" s="12"/>
      <c r="B569" s="12"/>
      <c r="C569" s="26"/>
      <c r="D569" s="27"/>
      <c r="I569" s="12"/>
      <c r="J569" s="34"/>
      <c r="N569" s="12"/>
      <c r="O569" s="12"/>
    </row>
    <row r="570" ht="12.75" spans="1:15">
      <c r="A570" s="12"/>
      <c r="B570" s="12"/>
      <c r="C570" s="26"/>
      <c r="D570" s="27"/>
      <c r="I570" s="12"/>
      <c r="J570" s="34"/>
      <c r="N570" s="12"/>
      <c r="O570" s="12"/>
    </row>
    <row r="571" ht="12.75" spans="1:15">
      <c r="A571" s="12"/>
      <c r="B571" s="12"/>
      <c r="C571" s="26"/>
      <c r="D571" s="27"/>
      <c r="I571" s="12"/>
      <c r="J571" s="34"/>
      <c r="N571" s="12"/>
      <c r="O571" s="12"/>
    </row>
    <row r="572" ht="12.75" spans="1:15">
      <c r="A572" s="12"/>
      <c r="B572" s="12"/>
      <c r="C572" s="26"/>
      <c r="D572" s="27"/>
      <c r="I572" s="12"/>
      <c r="J572" s="34"/>
      <c r="N572" s="12"/>
      <c r="O572" s="12"/>
    </row>
    <row r="573" ht="12.75" spans="1:15">
      <c r="A573" s="12"/>
      <c r="B573" s="12"/>
      <c r="C573" s="26"/>
      <c r="D573" s="27"/>
      <c r="I573" s="12"/>
      <c r="J573" s="34"/>
      <c r="N573" s="12"/>
      <c r="O573" s="12"/>
    </row>
    <row r="574" ht="12.75" spans="1:15">
      <c r="A574" s="12"/>
      <c r="B574" s="12"/>
      <c r="C574" s="26"/>
      <c r="D574" s="27"/>
      <c r="I574" s="12"/>
      <c r="J574" s="34"/>
      <c r="N574" s="12"/>
      <c r="O574" s="12"/>
    </row>
    <row r="575" ht="12.75" spans="1:15">
      <c r="A575" s="12"/>
      <c r="B575" s="12"/>
      <c r="C575" s="26"/>
      <c r="D575" s="27"/>
      <c r="I575" s="12"/>
      <c r="J575" s="34"/>
      <c r="N575" s="12"/>
      <c r="O575" s="12"/>
    </row>
    <row r="576" ht="12.75" spans="1:15">
      <c r="A576" s="12"/>
      <c r="B576" s="12"/>
      <c r="C576" s="26"/>
      <c r="D576" s="27"/>
      <c r="I576" s="12"/>
      <c r="J576" s="34"/>
      <c r="N576" s="12"/>
      <c r="O576" s="12"/>
    </row>
    <row r="577" ht="12.75" spans="1:15">
      <c r="A577" s="12"/>
      <c r="B577" s="12"/>
      <c r="C577" s="26"/>
      <c r="D577" s="27"/>
      <c r="I577" s="12"/>
      <c r="J577" s="34"/>
      <c r="N577" s="12"/>
      <c r="O577" s="12"/>
    </row>
    <row r="578" ht="12.75" spans="1:15">
      <c r="A578" s="12"/>
      <c r="B578" s="12"/>
      <c r="C578" s="26"/>
      <c r="D578" s="27"/>
      <c r="I578" s="12"/>
      <c r="J578" s="34"/>
      <c r="N578" s="12"/>
      <c r="O578" s="12"/>
    </row>
    <row r="579" ht="12.75" spans="1:15">
      <c r="A579" s="12"/>
      <c r="B579" s="12"/>
      <c r="C579" s="26"/>
      <c r="D579" s="27"/>
      <c r="I579" s="12"/>
      <c r="J579" s="34"/>
      <c r="N579" s="12"/>
      <c r="O579" s="12"/>
    </row>
    <row r="580" ht="12.75" spans="1:15">
      <c r="A580" s="12"/>
      <c r="B580" s="12"/>
      <c r="C580" s="26"/>
      <c r="D580" s="27"/>
      <c r="I580" s="12"/>
      <c r="J580" s="34"/>
      <c r="N580" s="12"/>
      <c r="O580" s="12"/>
    </row>
    <row r="581" ht="12.75" spans="1:15">
      <c r="A581" s="12"/>
      <c r="B581" s="12"/>
      <c r="C581" s="26"/>
      <c r="D581" s="27"/>
      <c r="I581" s="12"/>
      <c r="J581" s="34"/>
      <c r="N581" s="12"/>
      <c r="O581" s="12"/>
    </row>
    <row r="582" ht="12.75" spans="1:15">
      <c r="A582" s="12"/>
      <c r="B582" s="12"/>
      <c r="C582" s="26"/>
      <c r="D582" s="27"/>
      <c r="I582" s="12"/>
      <c r="J582" s="34"/>
      <c r="N582" s="12"/>
      <c r="O582" s="12"/>
    </row>
    <row r="583" ht="12.75" spans="1:15">
      <c r="A583" s="12"/>
      <c r="B583" s="12"/>
      <c r="C583" s="26"/>
      <c r="D583" s="27"/>
      <c r="I583" s="12"/>
      <c r="J583" s="34"/>
      <c r="N583" s="12"/>
      <c r="O583" s="12"/>
    </row>
    <row r="584" ht="12.75" spans="1:15">
      <c r="A584" s="12"/>
      <c r="B584" s="12"/>
      <c r="C584" s="26"/>
      <c r="D584" s="27"/>
      <c r="I584" s="12"/>
      <c r="J584" s="34"/>
      <c r="N584" s="12"/>
      <c r="O584" s="12"/>
    </row>
    <row r="585" ht="12.75" spans="1:15">
      <c r="A585" s="12"/>
      <c r="B585" s="12"/>
      <c r="C585" s="26"/>
      <c r="D585" s="27"/>
      <c r="I585" s="12"/>
      <c r="J585" s="34"/>
      <c r="N585" s="12"/>
      <c r="O585" s="12"/>
    </row>
    <row r="586" ht="12.75" spans="1:15">
      <c r="A586" s="12"/>
      <c r="B586" s="12"/>
      <c r="C586" s="26"/>
      <c r="D586" s="27"/>
      <c r="I586" s="12"/>
      <c r="J586" s="34"/>
      <c r="N586" s="12"/>
      <c r="O586" s="12"/>
    </row>
    <row r="587" ht="12.75" spans="1:15">
      <c r="A587" s="12"/>
      <c r="B587" s="12"/>
      <c r="C587" s="26"/>
      <c r="D587" s="27"/>
      <c r="I587" s="12"/>
      <c r="J587" s="34"/>
      <c r="N587" s="12"/>
      <c r="O587" s="12"/>
    </row>
    <row r="588" ht="12.75" spans="1:15">
      <c r="A588" s="12"/>
      <c r="B588" s="12"/>
      <c r="C588" s="26"/>
      <c r="D588" s="27"/>
      <c r="I588" s="12"/>
      <c r="J588" s="34"/>
      <c r="N588" s="12"/>
      <c r="O588" s="12"/>
    </row>
    <row r="589" ht="12.75" spans="1:15">
      <c r="A589" s="12"/>
      <c r="B589" s="12"/>
      <c r="C589" s="26"/>
      <c r="D589" s="27"/>
      <c r="I589" s="12"/>
      <c r="J589" s="34"/>
      <c r="N589" s="12"/>
      <c r="O589" s="12"/>
    </row>
    <row r="590" ht="12.75" spans="1:15">
      <c r="A590" s="12"/>
      <c r="B590" s="12"/>
      <c r="C590" s="26"/>
      <c r="D590" s="27"/>
      <c r="I590" s="12"/>
      <c r="J590" s="34"/>
      <c r="N590" s="12"/>
      <c r="O590" s="12"/>
    </row>
    <row r="591" ht="12.75" spans="1:15">
      <c r="A591" s="12"/>
      <c r="B591" s="12"/>
      <c r="C591" s="26"/>
      <c r="D591" s="27"/>
      <c r="I591" s="12"/>
      <c r="J591" s="34"/>
      <c r="N591" s="12"/>
      <c r="O591" s="12"/>
    </row>
    <row r="592" ht="12.75" spans="1:15">
      <c r="A592" s="12"/>
      <c r="B592" s="12"/>
      <c r="C592" s="26"/>
      <c r="D592" s="27"/>
      <c r="I592" s="12"/>
      <c r="J592" s="34"/>
      <c r="N592" s="12"/>
      <c r="O592" s="12"/>
    </row>
    <row r="593" ht="12.75" spans="1:15">
      <c r="A593" s="12"/>
      <c r="B593" s="12"/>
      <c r="C593" s="26"/>
      <c r="D593" s="27"/>
      <c r="I593" s="12"/>
      <c r="J593" s="34"/>
      <c r="N593" s="12"/>
      <c r="O593" s="12"/>
    </row>
    <row r="594" ht="12.75" spans="1:15">
      <c r="A594" s="12"/>
      <c r="B594" s="12"/>
      <c r="C594" s="26"/>
      <c r="D594" s="27"/>
      <c r="I594" s="12"/>
      <c r="J594" s="34"/>
      <c r="N594" s="12"/>
      <c r="O594" s="12"/>
    </row>
    <row r="595" ht="12.75" spans="1:15">
      <c r="A595" s="12"/>
      <c r="B595" s="12"/>
      <c r="C595" s="26"/>
      <c r="D595" s="27"/>
      <c r="I595" s="12"/>
      <c r="J595" s="34"/>
      <c r="N595" s="12"/>
      <c r="O595" s="12"/>
    </row>
    <row r="596" ht="12.75" spans="1:15">
      <c r="A596" s="12"/>
      <c r="B596" s="12"/>
      <c r="C596" s="26"/>
      <c r="D596" s="27"/>
      <c r="I596" s="12"/>
      <c r="J596" s="34"/>
      <c r="N596" s="12"/>
      <c r="O596" s="12"/>
    </row>
    <row r="597" ht="12.75" spans="1:15">
      <c r="A597" s="12"/>
      <c r="B597" s="12"/>
      <c r="C597" s="26"/>
      <c r="D597" s="27"/>
      <c r="I597" s="12"/>
      <c r="J597" s="34"/>
      <c r="N597" s="12"/>
      <c r="O597" s="12"/>
    </row>
    <row r="598" ht="12.75" spans="1:15">
      <c r="A598" s="12"/>
      <c r="B598" s="12"/>
      <c r="C598" s="26"/>
      <c r="D598" s="27"/>
      <c r="I598" s="12"/>
      <c r="J598" s="34"/>
      <c r="N598" s="12"/>
      <c r="O598" s="12"/>
    </row>
    <row r="599" ht="12.75" spans="1:15">
      <c r="A599" s="12"/>
      <c r="B599" s="12"/>
      <c r="C599" s="26"/>
      <c r="D599" s="27"/>
      <c r="I599" s="12"/>
      <c r="J599" s="34"/>
      <c r="N599" s="12"/>
      <c r="O599" s="12"/>
    </row>
    <row r="600" ht="12.75" spans="1:15">
      <c r="A600" s="12"/>
      <c r="B600" s="12"/>
      <c r="C600" s="26"/>
      <c r="D600" s="27"/>
      <c r="I600" s="12"/>
      <c r="J600" s="34"/>
      <c r="N600" s="12"/>
      <c r="O600" s="12"/>
    </row>
    <row r="601" ht="12.75" spans="1:15">
      <c r="A601" s="12"/>
      <c r="B601" s="12"/>
      <c r="C601" s="26"/>
      <c r="D601" s="27"/>
      <c r="I601" s="12"/>
      <c r="J601" s="34"/>
      <c r="N601" s="12"/>
      <c r="O601" s="12"/>
    </row>
    <row r="602" ht="12.75" spans="1:15">
      <c r="A602" s="12"/>
      <c r="B602" s="12"/>
      <c r="C602" s="26"/>
      <c r="D602" s="27"/>
      <c r="I602" s="12"/>
      <c r="J602" s="34"/>
      <c r="N602" s="12"/>
      <c r="O602" s="12"/>
    </row>
    <row r="603" ht="12.75" spans="1:15">
      <c r="A603" s="12"/>
      <c r="B603" s="12"/>
      <c r="C603" s="26"/>
      <c r="D603" s="27"/>
      <c r="I603" s="12"/>
      <c r="J603" s="34"/>
      <c r="N603" s="12"/>
      <c r="O603" s="12"/>
    </row>
    <row r="604" ht="12.75" spans="1:15">
      <c r="A604" s="12"/>
      <c r="B604" s="12"/>
      <c r="C604" s="26"/>
      <c r="D604" s="27"/>
      <c r="I604" s="12"/>
      <c r="J604" s="34"/>
      <c r="N604" s="12"/>
      <c r="O604" s="12"/>
    </row>
    <row r="605" ht="12.75" spans="1:15">
      <c r="A605" s="12"/>
      <c r="B605" s="12"/>
      <c r="C605" s="26"/>
      <c r="D605" s="27"/>
      <c r="I605" s="12"/>
      <c r="J605" s="34"/>
      <c r="N605" s="12"/>
      <c r="O605" s="12"/>
    </row>
    <row r="606" ht="12.75" spans="1:15">
      <c r="A606" s="12"/>
      <c r="B606" s="12"/>
      <c r="C606" s="26"/>
      <c r="D606" s="27"/>
      <c r="I606" s="12"/>
      <c r="J606" s="34"/>
      <c r="N606" s="12"/>
      <c r="O606" s="12"/>
    </row>
    <row r="607" ht="12.75" spans="1:15">
      <c r="A607" s="12"/>
      <c r="B607" s="12"/>
      <c r="C607" s="26"/>
      <c r="D607" s="27"/>
      <c r="I607" s="12"/>
      <c r="J607" s="34"/>
      <c r="N607" s="12"/>
      <c r="O607" s="12"/>
    </row>
    <row r="608" ht="12.75" spans="1:15">
      <c r="A608" s="12"/>
      <c r="B608" s="12"/>
      <c r="C608" s="26"/>
      <c r="D608" s="27"/>
      <c r="I608" s="12"/>
      <c r="J608" s="34"/>
      <c r="N608" s="12"/>
      <c r="O608" s="12"/>
    </row>
    <row r="609" ht="12.75" spans="1:15">
      <c r="A609" s="12"/>
      <c r="B609" s="12"/>
      <c r="C609" s="26"/>
      <c r="D609" s="27"/>
      <c r="I609" s="12"/>
      <c r="J609" s="34"/>
      <c r="N609" s="12"/>
      <c r="O609" s="12"/>
    </row>
    <row r="610" ht="12.75" spans="1:15">
      <c r="A610" s="12"/>
      <c r="B610" s="12"/>
      <c r="C610" s="26"/>
      <c r="D610" s="27"/>
      <c r="I610" s="12"/>
      <c r="J610" s="34"/>
      <c r="N610" s="12"/>
      <c r="O610" s="12"/>
    </row>
    <row r="611" ht="12.75" spans="1:15">
      <c r="A611" s="12"/>
      <c r="B611" s="12"/>
      <c r="C611" s="26"/>
      <c r="D611" s="27"/>
      <c r="I611" s="12"/>
      <c r="J611" s="34"/>
      <c r="N611" s="12"/>
      <c r="O611" s="12"/>
    </row>
    <row r="612" ht="12.75" spans="1:15">
      <c r="A612" s="12"/>
      <c r="B612" s="12"/>
      <c r="C612" s="26"/>
      <c r="D612" s="27"/>
      <c r="I612" s="12"/>
      <c r="J612" s="34"/>
      <c r="N612" s="12"/>
      <c r="O612" s="12"/>
    </row>
    <row r="613" ht="12.75" spans="1:15">
      <c r="A613" s="12"/>
      <c r="B613" s="12"/>
      <c r="C613" s="26"/>
      <c r="D613" s="27"/>
      <c r="I613" s="12"/>
      <c r="J613" s="34"/>
      <c r="N613" s="12"/>
      <c r="O613" s="12"/>
    </row>
    <row r="614" ht="12.75" spans="1:15">
      <c r="A614" s="12"/>
      <c r="B614" s="12"/>
      <c r="C614" s="26"/>
      <c r="D614" s="27"/>
      <c r="I614" s="12"/>
      <c r="J614" s="34"/>
      <c r="N614" s="12"/>
      <c r="O614" s="12"/>
    </row>
    <row r="615" ht="12.75" spans="1:15">
      <c r="A615" s="12"/>
      <c r="B615" s="12"/>
      <c r="C615" s="26"/>
      <c r="D615" s="27"/>
      <c r="I615" s="12"/>
      <c r="J615" s="34"/>
      <c r="N615" s="12"/>
      <c r="O615" s="12"/>
    </row>
    <row r="616" ht="12.75" spans="1:15">
      <c r="A616" s="12"/>
      <c r="B616" s="12"/>
      <c r="C616" s="26"/>
      <c r="D616" s="27"/>
      <c r="I616" s="12"/>
      <c r="J616" s="34"/>
      <c r="N616" s="12"/>
      <c r="O616" s="12"/>
    </row>
    <row r="617" ht="12.75" spans="1:15">
      <c r="A617" s="12"/>
      <c r="B617" s="12"/>
      <c r="C617" s="26"/>
      <c r="D617" s="27"/>
      <c r="I617" s="12"/>
      <c r="J617" s="34"/>
      <c r="N617" s="12"/>
      <c r="O617" s="12"/>
    </row>
    <row r="618" ht="12.75" spans="1:15">
      <c r="A618" s="12"/>
      <c r="B618" s="12"/>
      <c r="C618" s="26"/>
      <c r="D618" s="27"/>
      <c r="I618" s="12"/>
      <c r="J618" s="34"/>
      <c r="N618" s="12"/>
      <c r="O618" s="12"/>
    </row>
    <row r="619" ht="12.75" spans="1:15">
      <c r="A619" s="12"/>
      <c r="B619" s="12"/>
      <c r="C619" s="26"/>
      <c r="D619" s="27"/>
      <c r="I619" s="12"/>
      <c r="J619" s="34"/>
      <c r="N619" s="12"/>
      <c r="O619" s="12"/>
    </row>
    <row r="620" ht="12.75" spans="1:15">
      <c r="A620" s="12"/>
      <c r="B620" s="12"/>
      <c r="C620" s="26"/>
      <c r="D620" s="27"/>
      <c r="I620" s="12"/>
      <c r="J620" s="34"/>
      <c r="N620" s="12"/>
      <c r="O620" s="12"/>
    </row>
    <row r="621" ht="12.75" spans="1:15">
      <c r="A621" s="12"/>
      <c r="B621" s="12"/>
      <c r="C621" s="26"/>
      <c r="D621" s="27"/>
      <c r="I621" s="12"/>
      <c r="J621" s="34"/>
      <c r="N621" s="12"/>
      <c r="O621" s="12"/>
    </row>
    <row r="622" ht="12.75" spans="1:15">
      <c r="A622" s="12"/>
      <c r="B622" s="12"/>
      <c r="C622" s="26"/>
      <c r="D622" s="27"/>
      <c r="I622" s="12"/>
      <c r="J622" s="34"/>
      <c r="N622" s="12"/>
      <c r="O622" s="12"/>
    </row>
    <row r="623" ht="12.75" spans="1:15">
      <c r="A623" s="12"/>
      <c r="B623" s="12"/>
      <c r="C623" s="26"/>
      <c r="D623" s="27"/>
      <c r="I623" s="12"/>
      <c r="J623" s="34"/>
      <c r="N623" s="12"/>
      <c r="O623" s="12"/>
    </row>
    <row r="624" ht="12.75" spans="1:15">
      <c r="A624" s="12"/>
      <c r="B624" s="12"/>
      <c r="C624" s="26"/>
      <c r="D624" s="27"/>
      <c r="I624" s="12"/>
      <c r="J624" s="34"/>
      <c r="N624" s="12"/>
      <c r="O624" s="12"/>
    </row>
    <row r="625" ht="12.75" spans="1:15">
      <c r="A625" s="12"/>
      <c r="B625" s="12"/>
      <c r="C625" s="26"/>
      <c r="D625" s="27"/>
      <c r="I625" s="12"/>
      <c r="J625" s="34"/>
      <c r="N625" s="12"/>
      <c r="O625" s="12"/>
    </row>
    <row r="626" ht="12.75" spans="1:15">
      <c r="A626" s="12"/>
      <c r="B626" s="12"/>
      <c r="C626" s="26"/>
      <c r="D626" s="27"/>
      <c r="I626" s="12"/>
      <c r="J626" s="34"/>
      <c r="N626" s="12"/>
      <c r="O626" s="12"/>
    </row>
    <row r="627" ht="12.75" spans="1:15">
      <c r="A627" s="12"/>
      <c r="B627" s="12"/>
      <c r="C627" s="26"/>
      <c r="D627" s="27"/>
      <c r="I627" s="12"/>
      <c r="J627" s="34"/>
      <c r="N627" s="12"/>
      <c r="O627" s="12"/>
    </row>
    <row r="628" ht="12.75" spans="1:15">
      <c r="A628" s="12"/>
      <c r="B628" s="12"/>
      <c r="C628" s="26"/>
      <c r="D628" s="27"/>
      <c r="I628" s="12"/>
      <c r="J628" s="34"/>
      <c r="N628" s="12"/>
      <c r="O628" s="12"/>
    </row>
    <row r="629" ht="12.75" spans="1:15">
      <c r="A629" s="12"/>
      <c r="B629" s="12"/>
      <c r="C629" s="26"/>
      <c r="D629" s="27"/>
      <c r="I629" s="12"/>
      <c r="J629" s="34"/>
      <c r="N629" s="12"/>
      <c r="O629" s="12"/>
    </row>
    <row r="630" ht="12.75" spans="1:15">
      <c r="A630" s="12"/>
      <c r="B630" s="12"/>
      <c r="C630" s="26"/>
      <c r="D630" s="27"/>
      <c r="I630" s="12"/>
      <c r="J630" s="34"/>
      <c r="N630" s="12"/>
      <c r="O630" s="12"/>
    </row>
    <row r="631" ht="12.75" spans="1:15">
      <c r="A631" s="12"/>
      <c r="B631" s="12"/>
      <c r="C631" s="26"/>
      <c r="D631" s="27"/>
      <c r="I631" s="12"/>
      <c r="J631" s="34"/>
      <c r="N631" s="12"/>
      <c r="O631" s="12"/>
    </row>
    <row r="632" ht="12.75" spans="1:15">
      <c r="A632" s="12"/>
      <c r="B632" s="12"/>
      <c r="C632" s="26"/>
      <c r="D632" s="27"/>
      <c r="I632" s="12"/>
      <c r="J632" s="34"/>
      <c r="N632" s="12"/>
      <c r="O632" s="12"/>
    </row>
    <row r="633" ht="12.75" spans="1:15">
      <c r="A633" s="12"/>
      <c r="B633" s="12"/>
      <c r="C633" s="26"/>
      <c r="D633" s="27"/>
      <c r="I633" s="12"/>
      <c r="J633" s="34"/>
      <c r="N633" s="12"/>
      <c r="O633" s="12"/>
    </row>
    <row r="634" ht="12.75" spans="1:15">
      <c r="A634" s="12"/>
      <c r="B634" s="12"/>
      <c r="C634" s="26"/>
      <c r="D634" s="27"/>
      <c r="I634" s="12"/>
      <c r="J634" s="34"/>
      <c r="N634" s="12"/>
      <c r="O634" s="12"/>
    </row>
    <row r="635" ht="12.75" spans="1:15">
      <c r="A635" s="12"/>
      <c r="B635" s="12"/>
      <c r="C635" s="26"/>
      <c r="D635" s="27"/>
      <c r="I635" s="12"/>
      <c r="J635" s="34"/>
      <c r="N635" s="12"/>
      <c r="O635" s="12"/>
    </row>
    <row r="636" ht="12.75" spans="1:15">
      <c r="A636" s="12"/>
      <c r="B636" s="12"/>
      <c r="C636" s="26"/>
      <c r="D636" s="27"/>
      <c r="I636" s="12"/>
      <c r="J636" s="34"/>
      <c r="N636" s="12"/>
      <c r="O636" s="12"/>
    </row>
    <row r="637" ht="12.75" spans="1:15">
      <c r="A637" s="12"/>
      <c r="B637" s="12"/>
      <c r="C637" s="26"/>
      <c r="D637" s="27"/>
      <c r="I637" s="12"/>
      <c r="J637" s="34"/>
      <c r="N637" s="12"/>
      <c r="O637" s="12"/>
    </row>
    <row r="638" ht="12.75" spans="1:15">
      <c r="A638" s="12"/>
      <c r="B638" s="12"/>
      <c r="C638" s="26"/>
      <c r="D638" s="27"/>
      <c r="I638" s="12"/>
      <c r="J638" s="34"/>
      <c r="N638" s="12"/>
      <c r="O638" s="12"/>
    </row>
    <row r="639" ht="12.75" spans="1:15">
      <c r="A639" s="12"/>
      <c r="B639" s="12"/>
      <c r="C639" s="26"/>
      <c r="D639" s="27"/>
      <c r="I639" s="12"/>
      <c r="J639" s="34"/>
      <c r="N639" s="12"/>
      <c r="O639" s="12"/>
    </row>
    <row r="640" ht="12.75" spans="1:15">
      <c r="A640" s="12"/>
      <c r="B640" s="12"/>
      <c r="C640" s="26"/>
      <c r="D640" s="27"/>
      <c r="I640" s="12"/>
      <c r="J640" s="34"/>
      <c r="N640" s="12"/>
      <c r="O640" s="12"/>
    </row>
    <row r="641" ht="12.75" spans="1:15">
      <c r="A641" s="12"/>
      <c r="B641" s="12"/>
      <c r="C641" s="26"/>
      <c r="D641" s="27"/>
      <c r="I641" s="12"/>
      <c r="J641" s="34"/>
      <c r="N641" s="12"/>
      <c r="O641" s="12"/>
    </row>
    <row r="642" ht="12.75" spans="1:15">
      <c r="A642" s="12"/>
      <c r="B642" s="12"/>
      <c r="C642" s="26"/>
      <c r="D642" s="27"/>
      <c r="I642" s="12"/>
      <c r="J642" s="34"/>
      <c r="N642" s="12"/>
      <c r="O642" s="12"/>
    </row>
    <row r="643" ht="12.75" spans="1:15">
      <c r="A643" s="12"/>
      <c r="B643" s="12"/>
      <c r="C643" s="26"/>
      <c r="D643" s="27"/>
      <c r="I643" s="12"/>
      <c r="J643" s="34"/>
      <c r="N643" s="12"/>
      <c r="O643" s="12"/>
    </row>
    <row r="644" ht="12.75" spans="1:15">
      <c r="A644" s="12"/>
      <c r="B644" s="12"/>
      <c r="C644" s="26"/>
      <c r="D644" s="27"/>
      <c r="I644" s="12"/>
      <c r="J644" s="34"/>
      <c r="N644" s="12"/>
      <c r="O644" s="12"/>
    </row>
    <row r="645" ht="12.75" spans="1:15">
      <c r="A645" s="12"/>
      <c r="B645" s="12"/>
      <c r="C645" s="26"/>
      <c r="D645" s="27"/>
      <c r="I645" s="12"/>
      <c r="J645" s="34"/>
      <c r="N645" s="12"/>
      <c r="O645" s="12"/>
    </row>
    <row r="646" ht="12.75" spans="1:15">
      <c r="A646" s="12"/>
      <c r="B646" s="12"/>
      <c r="C646" s="26"/>
      <c r="D646" s="27"/>
      <c r="I646" s="12"/>
      <c r="J646" s="34"/>
      <c r="N646" s="12"/>
      <c r="O646" s="12"/>
    </row>
    <row r="647" ht="12.75" spans="1:15">
      <c r="A647" s="12"/>
      <c r="B647" s="12"/>
      <c r="C647" s="26"/>
      <c r="D647" s="27"/>
      <c r="I647" s="12"/>
      <c r="J647" s="34"/>
      <c r="N647" s="12"/>
      <c r="O647" s="12"/>
    </row>
    <row r="648" ht="12.75" spans="1:15">
      <c r="A648" s="12"/>
      <c r="B648" s="12"/>
      <c r="C648" s="26"/>
      <c r="D648" s="27"/>
      <c r="I648" s="12"/>
      <c r="J648" s="34"/>
      <c r="N648" s="12"/>
      <c r="O648" s="12"/>
    </row>
    <row r="649" ht="12.75" spans="1:15">
      <c r="A649" s="12"/>
      <c r="B649" s="12"/>
      <c r="C649" s="26"/>
      <c r="D649" s="27"/>
      <c r="I649" s="12"/>
      <c r="J649" s="34"/>
      <c r="N649" s="12"/>
      <c r="O649" s="12"/>
    </row>
    <row r="650" ht="12.75" spans="1:15">
      <c r="A650" s="12"/>
      <c r="B650" s="12"/>
      <c r="C650" s="26"/>
      <c r="D650" s="27"/>
      <c r="I650" s="12"/>
      <c r="J650" s="34"/>
      <c r="N650" s="12"/>
      <c r="O650" s="12"/>
    </row>
    <row r="651" ht="12.75" spans="1:15">
      <c r="A651" s="12"/>
      <c r="B651" s="12"/>
      <c r="C651" s="26"/>
      <c r="D651" s="27"/>
      <c r="I651" s="12"/>
      <c r="J651" s="34"/>
      <c r="N651" s="12"/>
      <c r="O651" s="12"/>
    </row>
    <row r="652" ht="12.75" spans="1:15">
      <c r="A652" s="12"/>
      <c r="B652" s="12"/>
      <c r="C652" s="26"/>
      <c r="D652" s="27"/>
      <c r="I652" s="12"/>
      <c r="J652" s="34"/>
      <c r="N652" s="12"/>
      <c r="O652" s="12"/>
    </row>
    <row r="653" ht="12.75" spans="1:15">
      <c r="A653" s="12"/>
      <c r="B653" s="12"/>
      <c r="C653" s="26"/>
      <c r="D653" s="27"/>
      <c r="I653" s="12"/>
      <c r="J653" s="34"/>
      <c r="N653" s="12"/>
      <c r="O653" s="12"/>
    </row>
    <row r="654" ht="12.75" spans="1:15">
      <c r="A654" s="12"/>
      <c r="B654" s="12"/>
      <c r="C654" s="26"/>
      <c r="D654" s="27"/>
      <c r="I654" s="12"/>
      <c r="J654" s="34"/>
      <c r="N654" s="12"/>
      <c r="O654" s="12"/>
    </row>
    <row r="655" ht="12.75" spans="1:15">
      <c r="A655" s="12"/>
      <c r="B655" s="12"/>
      <c r="C655" s="26"/>
      <c r="D655" s="27"/>
      <c r="I655" s="12"/>
      <c r="J655" s="34"/>
      <c r="N655" s="12"/>
      <c r="O655" s="12"/>
    </row>
    <row r="656" ht="12.75" spans="1:15">
      <c r="A656" s="12"/>
      <c r="B656" s="12"/>
      <c r="C656" s="26"/>
      <c r="D656" s="27"/>
      <c r="I656" s="12"/>
      <c r="J656" s="34"/>
      <c r="N656" s="12"/>
      <c r="O656" s="12"/>
    </row>
    <row r="657" ht="12.75" spans="1:15">
      <c r="A657" s="12"/>
      <c r="B657" s="12"/>
      <c r="C657" s="26"/>
      <c r="D657" s="27"/>
      <c r="I657" s="12"/>
      <c r="J657" s="34"/>
      <c r="N657" s="12"/>
      <c r="O657" s="12"/>
    </row>
    <row r="658" ht="12.75" spans="1:15">
      <c r="A658" s="12"/>
      <c r="B658" s="12"/>
      <c r="C658" s="26"/>
      <c r="D658" s="27"/>
      <c r="I658" s="12"/>
      <c r="J658" s="34"/>
      <c r="N658" s="12"/>
      <c r="O658" s="12"/>
    </row>
    <row r="659" ht="12.75" spans="1:15">
      <c r="A659" s="12"/>
      <c r="B659" s="12"/>
      <c r="C659" s="26"/>
      <c r="D659" s="27"/>
      <c r="I659" s="12"/>
      <c r="J659" s="34"/>
      <c r="N659" s="12"/>
      <c r="O659" s="12"/>
    </row>
    <row r="660" ht="12.75" spans="1:15">
      <c r="A660" s="12"/>
      <c r="B660" s="12"/>
      <c r="C660" s="26"/>
      <c r="D660" s="27"/>
      <c r="I660" s="12"/>
      <c r="J660" s="34"/>
      <c r="N660" s="12"/>
      <c r="O660" s="12"/>
    </row>
    <row r="661" ht="12.75" spans="1:15">
      <c r="A661" s="12"/>
      <c r="B661" s="12"/>
      <c r="C661" s="26"/>
      <c r="D661" s="27"/>
      <c r="I661" s="12"/>
      <c r="J661" s="34"/>
      <c r="N661" s="12"/>
      <c r="O661" s="12"/>
    </row>
    <row r="662" ht="12.75" spans="1:15">
      <c r="A662" s="12"/>
      <c r="B662" s="12"/>
      <c r="C662" s="26"/>
      <c r="D662" s="27"/>
      <c r="I662" s="12"/>
      <c r="J662" s="34"/>
      <c r="N662" s="12"/>
      <c r="O662" s="12"/>
    </row>
    <row r="663" ht="12.75" spans="1:15">
      <c r="A663" s="12"/>
      <c r="B663" s="12"/>
      <c r="C663" s="26"/>
      <c r="D663" s="27"/>
      <c r="I663" s="12"/>
      <c r="J663" s="34"/>
      <c r="N663" s="12"/>
      <c r="O663" s="12"/>
    </row>
    <row r="664" ht="12.75" spans="1:15">
      <c r="A664" s="12"/>
      <c r="B664" s="12"/>
      <c r="C664" s="26"/>
      <c r="D664" s="27"/>
      <c r="I664" s="12"/>
      <c r="J664" s="34"/>
      <c r="N664" s="12"/>
      <c r="O664" s="12"/>
    </row>
    <row r="665" ht="12.75" spans="1:15">
      <c r="A665" s="12"/>
      <c r="B665" s="12"/>
      <c r="C665" s="26"/>
      <c r="D665" s="27"/>
      <c r="I665" s="12"/>
      <c r="J665" s="34"/>
      <c r="N665" s="12"/>
      <c r="O665" s="12"/>
    </row>
    <row r="666" ht="12.75" spans="1:15">
      <c r="A666" s="12"/>
      <c r="B666" s="12"/>
      <c r="C666" s="26"/>
      <c r="D666" s="27"/>
      <c r="I666" s="12"/>
      <c r="J666" s="34"/>
      <c r="N666" s="12"/>
      <c r="O666" s="12"/>
    </row>
    <row r="667" ht="12.75" spans="1:15">
      <c r="A667" s="12"/>
      <c r="B667" s="12"/>
      <c r="C667" s="26"/>
      <c r="D667" s="27"/>
      <c r="I667" s="12"/>
      <c r="J667" s="34"/>
      <c r="N667" s="12"/>
      <c r="O667" s="12"/>
    </row>
    <row r="668" ht="12.75" spans="1:15">
      <c r="A668" s="12"/>
      <c r="B668" s="12"/>
      <c r="C668" s="26"/>
      <c r="D668" s="27"/>
      <c r="I668" s="12"/>
      <c r="J668" s="34"/>
      <c r="N668" s="12"/>
      <c r="O668" s="12"/>
    </row>
    <row r="669" ht="12.75" spans="1:15">
      <c r="A669" s="12"/>
      <c r="B669" s="12"/>
      <c r="C669" s="26"/>
      <c r="D669" s="27"/>
      <c r="I669" s="12"/>
      <c r="J669" s="34"/>
      <c r="N669" s="12"/>
      <c r="O669" s="12"/>
    </row>
    <row r="670" ht="12.75" spans="1:15">
      <c r="A670" s="12"/>
      <c r="B670" s="12"/>
      <c r="C670" s="26"/>
      <c r="D670" s="27"/>
      <c r="I670" s="12"/>
      <c r="J670" s="34"/>
      <c r="N670" s="12"/>
      <c r="O670" s="12"/>
    </row>
    <row r="671" ht="12.75" spans="1:15">
      <c r="A671" s="12"/>
      <c r="B671" s="12"/>
      <c r="C671" s="26"/>
      <c r="D671" s="27"/>
      <c r="I671" s="12"/>
      <c r="J671" s="34"/>
      <c r="N671" s="12"/>
      <c r="O671" s="12"/>
    </row>
    <row r="672" ht="12.75" spans="1:15">
      <c r="A672" s="12"/>
      <c r="B672" s="12"/>
      <c r="C672" s="26"/>
      <c r="D672" s="27"/>
      <c r="I672" s="12"/>
      <c r="J672" s="34"/>
      <c r="N672" s="12"/>
      <c r="O672" s="12"/>
    </row>
    <row r="673" ht="12.75" spans="1:15">
      <c r="A673" s="12"/>
      <c r="B673" s="12"/>
      <c r="C673" s="26"/>
      <c r="D673" s="27"/>
      <c r="I673" s="12"/>
      <c r="J673" s="34"/>
      <c r="N673" s="12"/>
      <c r="O673" s="12"/>
    </row>
    <row r="674" ht="12.75" spans="1:15">
      <c r="A674" s="12"/>
      <c r="B674" s="12"/>
      <c r="C674" s="26"/>
      <c r="D674" s="27"/>
      <c r="I674" s="12"/>
      <c r="J674" s="34"/>
      <c r="N674" s="12"/>
      <c r="O674" s="12"/>
    </row>
    <row r="675" ht="12.75" spans="1:15">
      <c r="A675" s="12"/>
      <c r="B675" s="12"/>
      <c r="C675" s="26"/>
      <c r="D675" s="27"/>
      <c r="I675" s="12"/>
      <c r="J675" s="34"/>
      <c r="N675" s="12"/>
      <c r="O675" s="12"/>
    </row>
    <row r="676" ht="12.75" spans="1:15">
      <c r="A676" s="12"/>
      <c r="B676" s="12"/>
      <c r="C676" s="26"/>
      <c r="D676" s="27"/>
      <c r="I676" s="12"/>
      <c r="J676" s="34"/>
      <c r="N676" s="12"/>
      <c r="O676" s="12"/>
    </row>
    <row r="677" ht="12.75" spans="1:15">
      <c r="A677" s="12"/>
      <c r="B677" s="12"/>
      <c r="C677" s="26"/>
      <c r="D677" s="27"/>
      <c r="I677" s="12"/>
      <c r="J677" s="34"/>
      <c r="N677" s="12"/>
      <c r="O677" s="12"/>
    </row>
    <row r="678" ht="12.75" spans="1:15">
      <c r="A678" s="12"/>
      <c r="B678" s="12"/>
      <c r="C678" s="26"/>
      <c r="D678" s="27"/>
      <c r="I678" s="12"/>
      <c r="J678" s="34"/>
      <c r="N678" s="12"/>
      <c r="O678" s="12"/>
    </row>
    <row r="679" ht="12.75" spans="1:15">
      <c r="A679" s="12"/>
      <c r="B679" s="12"/>
      <c r="C679" s="26"/>
      <c r="D679" s="27"/>
      <c r="I679" s="12"/>
      <c r="J679" s="34"/>
      <c r="N679" s="12"/>
      <c r="O679" s="12"/>
    </row>
    <row r="680" ht="12.75" spans="1:15">
      <c r="A680" s="12"/>
      <c r="B680" s="12"/>
      <c r="C680" s="26"/>
      <c r="D680" s="27"/>
      <c r="I680" s="12"/>
      <c r="J680" s="34"/>
      <c r="N680" s="12"/>
      <c r="O680" s="12"/>
    </row>
    <row r="681" ht="12.75" spans="1:15">
      <c r="A681" s="12"/>
      <c r="B681" s="12"/>
      <c r="C681" s="26"/>
      <c r="D681" s="27"/>
      <c r="I681" s="12"/>
      <c r="J681" s="34"/>
      <c r="N681" s="12"/>
      <c r="O681" s="12"/>
    </row>
    <row r="682" ht="12.75" spans="1:15">
      <c r="A682" s="12"/>
      <c r="B682" s="12"/>
      <c r="C682" s="26"/>
      <c r="D682" s="27"/>
      <c r="I682" s="12"/>
      <c r="J682" s="34"/>
      <c r="N682" s="12"/>
      <c r="O682" s="12"/>
    </row>
    <row r="683" ht="12.75" spans="1:15">
      <c r="A683" s="12"/>
      <c r="B683" s="12"/>
      <c r="C683" s="26"/>
      <c r="D683" s="27"/>
      <c r="I683" s="12"/>
      <c r="J683" s="34"/>
      <c r="N683" s="12"/>
      <c r="O683" s="12"/>
    </row>
    <row r="684" ht="12.75" spans="1:15">
      <c r="A684" s="12"/>
      <c r="B684" s="12"/>
      <c r="C684" s="26"/>
      <c r="D684" s="27"/>
      <c r="I684" s="12"/>
      <c r="J684" s="34"/>
      <c r="N684" s="12"/>
      <c r="O684" s="12"/>
    </row>
    <row r="685" ht="12.75" spans="1:15">
      <c r="A685" s="12"/>
      <c r="B685" s="12"/>
      <c r="C685" s="26"/>
      <c r="D685" s="27"/>
      <c r="I685" s="12"/>
      <c r="J685" s="34"/>
      <c r="N685" s="12"/>
      <c r="O685" s="12"/>
    </row>
    <row r="686" ht="12.75" spans="1:15">
      <c r="A686" s="12"/>
      <c r="B686" s="12"/>
      <c r="C686" s="26"/>
      <c r="D686" s="27"/>
      <c r="I686" s="12"/>
      <c r="J686" s="34"/>
      <c r="N686" s="12"/>
      <c r="O686" s="12"/>
    </row>
    <row r="687" ht="12.75" spans="1:15">
      <c r="A687" s="12"/>
      <c r="B687" s="12"/>
      <c r="C687" s="26"/>
      <c r="D687" s="27"/>
      <c r="I687" s="12"/>
      <c r="J687" s="34"/>
      <c r="N687" s="12"/>
      <c r="O687" s="12"/>
    </row>
    <row r="688" ht="12.75" spans="1:15">
      <c r="A688" s="12"/>
      <c r="B688" s="12"/>
      <c r="C688" s="26"/>
      <c r="D688" s="27"/>
      <c r="I688" s="12"/>
      <c r="J688" s="34"/>
      <c r="N688" s="12"/>
      <c r="O688" s="12"/>
    </row>
    <row r="689" ht="12.75" spans="1:15">
      <c r="A689" s="12"/>
      <c r="B689" s="12"/>
      <c r="C689" s="26"/>
      <c r="D689" s="27"/>
      <c r="I689" s="12"/>
      <c r="J689" s="34"/>
      <c r="N689" s="12"/>
      <c r="O689" s="12"/>
    </row>
    <row r="690" ht="12.75" spans="1:15">
      <c r="A690" s="12"/>
      <c r="B690" s="12"/>
      <c r="C690" s="26"/>
      <c r="D690" s="27"/>
      <c r="I690" s="12"/>
      <c r="J690" s="34"/>
      <c r="N690" s="12"/>
      <c r="O690" s="12"/>
    </row>
    <row r="691" ht="12.75" spans="1:15">
      <c r="A691" s="12"/>
      <c r="B691" s="12"/>
      <c r="C691" s="26"/>
      <c r="D691" s="27"/>
      <c r="I691" s="12"/>
      <c r="J691" s="34"/>
      <c r="N691" s="12"/>
      <c r="O691" s="12"/>
    </row>
    <row r="692" ht="12.75" spans="1:15">
      <c r="A692" s="12"/>
      <c r="B692" s="12"/>
      <c r="C692" s="26"/>
      <c r="D692" s="27"/>
      <c r="I692" s="12"/>
      <c r="J692" s="34"/>
      <c r="N692" s="12"/>
      <c r="O692" s="12"/>
    </row>
    <row r="693" ht="12.75" spans="1:15">
      <c r="A693" s="12"/>
      <c r="B693" s="12"/>
      <c r="C693" s="26"/>
      <c r="D693" s="27"/>
      <c r="I693" s="12"/>
      <c r="J693" s="34"/>
      <c r="N693" s="12"/>
      <c r="O693" s="12"/>
    </row>
    <row r="694" ht="12.75" spans="1:15">
      <c r="A694" s="12"/>
      <c r="B694" s="12"/>
      <c r="C694" s="26"/>
      <c r="D694" s="27"/>
      <c r="I694" s="12"/>
      <c r="J694" s="34"/>
      <c r="N694" s="12"/>
      <c r="O694" s="12"/>
    </row>
    <row r="695" ht="12.75" spans="1:15">
      <c r="A695" s="12"/>
      <c r="B695" s="12"/>
      <c r="C695" s="26"/>
      <c r="D695" s="27"/>
      <c r="I695" s="12"/>
      <c r="J695" s="34"/>
      <c r="N695" s="12"/>
      <c r="O695" s="12"/>
    </row>
    <row r="696" ht="12.75" spans="1:15">
      <c r="A696" s="12"/>
      <c r="B696" s="12"/>
      <c r="C696" s="26"/>
      <c r="D696" s="27"/>
      <c r="I696" s="12"/>
      <c r="J696" s="34"/>
      <c r="N696" s="12"/>
      <c r="O696" s="12"/>
    </row>
    <row r="697" ht="12.75" spans="1:15">
      <c r="A697" s="12"/>
      <c r="B697" s="12"/>
      <c r="C697" s="26"/>
      <c r="D697" s="27"/>
      <c r="I697" s="12"/>
      <c r="J697" s="34"/>
      <c r="N697" s="12"/>
      <c r="O697" s="12"/>
    </row>
    <row r="698" ht="12.75" spans="1:15">
      <c r="A698" s="12"/>
      <c r="B698" s="12"/>
      <c r="C698" s="26"/>
      <c r="D698" s="27"/>
      <c r="I698" s="12"/>
      <c r="J698" s="34"/>
      <c r="N698" s="12"/>
      <c r="O698" s="12"/>
    </row>
    <row r="699" ht="12.75" spans="1:15">
      <c r="A699" s="12"/>
      <c r="B699" s="12"/>
      <c r="C699" s="26"/>
      <c r="D699" s="27"/>
      <c r="I699" s="12"/>
      <c r="J699" s="34"/>
      <c r="N699" s="12"/>
      <c r="O699" s="12"/>
    </row>
    <row r="700" ht="12.75" spans="1:15">
      <c r="A700" s="12"/>
      <c r="B700" s="12"/>
      <c r="C700" s="26"/>
      <c r="D700" s="27"/>
      <c r="I700" s="12"/>
      <c r="J700" s="34"/>
      <c r="N700" s="12"/>
      <c r="O700" s="12"/>
    </row>
    <row r="701" ht="12.75" spans="1:15">
      <c r="A701" s="12"/>
      <c r="B701" s="12"/>
      <c r="C701" s="26"/>
      <c r="D701" s="27"/>
      <c r="I701" s="12"/>
      <c r="J701" s="34"/>
      <c r="N701" s="12"/>
      <c r="O701" s="12"/>
    </row>
    <row r="702" ht="12.75" spans="1:15">
      <c r="A702" s="12"/>
      <c r="B702" s="12"/>
      <c r="C702" s="26"/>
      <c r="D702" s="27"/>
      <c r="I702" s="12"/>
      <c r="J702" s="34"/>
      <c r="N702" s="12"/>
      <c r="O702" s="12"/>
    </row>
    <row r="703" ht="12.75" spans="1:15">
      <c r="A703" s="12"/>
      <c r="B703" s="12"/>
      <c r="C703" s="26"/>
      <c r="D703" s="27"/>
      <c r="I703" s="12"/>
      <c r="J703" s="34"/>
      <c r="N703" s="12"/>
      <c r="O703" s="12"/>
    </row>
    <row r="704" ht="12.75" spans="1:15">
      <c r="A704" s="12"/>
      <c r="B704" s="12"/>
      <c r="C704" s="26"/>
      <c r="D704" s="27"/>
      <c r="I704" s="12"/>
      <c r="J704" s="34"/>
      <c r="N704" s="12"/>
      <c r="O704" s="12"/>
    </row>
    <row r="705" ht="12.75" spans="1:15">
      <c r="A705" s="12"/>
      <c r="B705" s="12"/>
      <c r="C705" s="26"/>
      <c r="D705" s="27"/>
      <c r="I705" s="12"/>
      <c r="J705" s="34"/>
      <c r="N705" s="12"/>
      <c r="O705" s="12"/>
    </row>
    <row r="706" ht="12.75" spans="1:15">
      <c r="A706" s="12"/>
      <c r="B706" s="12"/>
      <c r="C706" s="26"/>
      <c r="D706" s="27"/>
      <c r="I706" s="12"/>
      <c r="J706" s="34"/>
      <c r="N706" s="12"/>
      <c r="O706" s="12"/>
    </row>
    <row r="707" ht="12.75" spans="1:15">
      <c r="A707" s="12"/>
      <c r="B707" s="12"/>
      <c r="C707" s="26"/>
      <c r="D707" s="27"/>
      <c r="I707" s="12"/>
      <c r="J707" s="34"/>
      <c r="N707" s="12"/>
      <c r="O707" s="12"/>
    </row>
    <row r="708" ht="12.75" spans="1:15">
      <c r="A708" s="12"/>
      <c r="B708" s="12"/>
      <c r="C708" s="26"/>
      <c r="D708" s="27"/>
      <c r="I708" s="12"/>
      <c r="J708" s="34"/>
      <c r="N708" s="12"/>
      <c r="O708" s="12"/>
    </row>
    <row r="709" ht="12.75" spans="1:15">
      <c r="A709" s="12"/>
      <c r="B709" s="12"/>
      <c r="C709" s="26"/>
      <c r="D709" s="27"/>
      <c r="I709" s="12"/>
      <c r="J709" s="34"/>
      <c r="N709" s="12"/>
      <c r="O709" s="12"/>
    </row>
    <row r="710" ht="12.75" spans="1:15">
      <c r="A710" s="12"/>
      <c r="B710" s="12"/>
      <c r="C710" s="26"/>
      <c r="D710" s="27"/>
      <c r="I710" s="12"/>
      <c r="J710" s="34"/>
      <c r="N710" s="12"/>
      <c r="O710" s="12"/>
    </row>
    <row r="711" ht="12.75" spans="1:15">
      <c r="A711" s="12"/>
      <c r="B711" s="12"/>
      <c r="C711" s="26"/>
      <c r="D711" s="27"/>
      <c r="I711" s="12"/>
      <c r="J711" s="34"/>
      <c r="N711" s="12"/>
      <c r="O711" s="12"/>
    </row>
    <row r="712" ht="12.75" spans="1:15">
      <c r="A712" s="12"/>
      <c r="B712" s="12"/>
      <c r="C712" s="26"/>
      <c r="D712" s="27"/>
      <c r="I712" s="12"/>
      <c r="J712" s="34"/>
      <c r="N712" s="12"/>
      <c r="O712" s="12"/>
    </row>
    <row r="713" ht="12.75" spans="1:15">
      <c r="A713" s="12"/>
      <c r="B713" s="12"/>
      <c r="C713" s="26"/>
      <c r="D713" s="27"/>
      <c r="I713" s="12"/>
      <c r="J713" s="34"/>
      <c r="N713" s="12"/>
      <c r="O713" s="12"/>
    </row>
    <row r="714" ht="12.75" spans="1:15">
      <c r="A714" s="12"/>
      <c r="B714" s="12"/>
      <c r="C714" s="26"/>
      <c r="D714" s="27"/>
      <c r="I714" s="12"/>
      <c r="J714" s="34"/>
      <c r="N714" s="12"/>
      <c r="O714" s="12"/>
    </row>
    <row r="715" ht="12.75" spans="1:15">
      <c r="A715" s="12"/>
      <c r="B715" s="12"/>
      <c r="C715" s="26"/>
      <c r="D715" s="27"/>
      <c r="I715" s="12"/>
      <c r="J715" s="34"/>
      <c r="N715" s="12"/>
      <c r="O715" s="12"/>
    </row>
    <row r="716" ht="12.75" spans="1:15">
      <c r="A716" s="12"/>
      <c r="B716" s="12"/>
      <c r="C716" s="26"/>
      <c r="D716" s="27"/>
      <c r="I716" s="12"/>
      <c r="J716" s="34"/>
      <c r="N716" s="12"/>
      <c r="O716" s="12"/>
    </row>
    <row r="717" ht="12.75" spans="1:15">
      <c r="A717" s="12"/>
      <c r="B717" s="12"/>
      <c r="C717" s="26"/>
      <c r="D717" s="27"/>
      <c r="I717" s="12"/>
      <c r="J717" s="34"/>
      <c r="N717" s="12"/>
      <c r="O717" s="12"/>
    </row>
    <row r="718" ht="12.75" spans="1:15">
      <c r="A718" s="12"/>
      <c r="B718" s="12"/>
      <c r="C718" s="26"/>
      <c r="D718" s="27"/>
      <c r="I718" s="12"/>
      <c r="J718" s="34"/>
      <c r="N718" s="12"/>
      <c r="O718" s="12"/>
    </row>
    <row r="719" ht="12.75" spans="1:15">
      <c r="A719" s="12"/>
      <c r="B719" s="12"/>
      <c r="C719" s="26"/>
      <c r="D719" s="27"/>
      <c r="I719" s="12"/>
      <c r="J719" s="34"/>
      <c r="N719" s="12"/>
      <c r="O719" s="12"/>
    </row>
    <row r="720" ht="12.75" spans="1:15">
      <c r="A720" s="12"/>
      <c r="B720" s="12"/>
      <c r="C720" s="26"/>
      <c r="D720" s="27"/>
      <c r="I720" s="12"/>
      <c r="J720" s="34"/>
      <c r="N720" s="12"/>
      <c r="O720" s="12"/>
    </row>
    <row r="721" ht="12.75" spans="1:15">
      <c r="A721" s="12"/>
      <c r="B721" s="12"/>
      <c r="C721" s="26"/>
      <c r="D721" s="27"/>
      <c r="I721" s="12"/>
      <c r="J721" s="34"/>
      <c r="N721" s="12"/>
      <c r="O721" s="12"/>
    </row>
    <row r="722" ht="12.75" spans="1:15">
      <c r="A722" s="12"/>
      <c r="B722" s="12"/>
      <c r="C722" s="26"/>
      <c r="D722" s="27"/>
      <c r="I722" s="12"/>
      <c r="J722" s="34"/>
      <c r="N722" s="12"/>
      <c r="O722" s="12"/>
    </row>
    <row r="723" ht="12.75" spans="1:15">
      <c r="A723" s="12"/>
      <c r="B723" s="12"/>
      <c r="C723" s="26"/>
      <c r="D723" s="27"/>
      <c r="I723" s="12"/>
      <c r="J723" s="34"/>
      <c r="N723" s="12"/>
      <c r="O723" s="12"/>
    </row>
    <row r="724" ht="12.75" spans="1:15">
      <c r="A724" s="12"/>
      <c r="B724" s="12"/>
      <c r="C724" s="26"/>
      <c r="D724" s="27"/>
      <c r="I724" s="12"/>
      <c r="J724" s="34"/>
      <c r="N724" s="12"/>
      <c r="O724" s="12"/>
    </row>
    <row r="725" ht="12.75" spans="1:15">
      <c r="A725" s="12"/>
      <c r="B725" s="12"/>
      <c r="C725" s="26"/>
      <c r="D725" s="27"/>
      <c r="I725" s="12"/>
      <c r="J725" s="34"/>
      <c r="N725" s="12"/>
      <c r="O725" s="12"/>
    </row>
    <row r="726" ht="12.75" spans="1:15">
      <c r="A726" s="12"/>
      <c r="B726" s="12"/>
      <c r="C726" s="26"/>
      <c r="D726" s="27"/>
      <c r="I726" s="12"/>
      <c r="J726" s="34"/>
      <c r="N726" s="12"/>
      <c r="O726" s="12"/>
    </row>
    <row r="727" ht="12.75" spans="1:15">
      <c r="A727" s="12"/>
      <c r="B727" s="12"/>
      <c r="C727" s="26"/>
      <c r="D727" s="27"/>
      <c r="I727" s="12"/>
      <c r="J727" s="34"/>
      <c r="N727" s="12"/>
      <c r="O727" s="12"/>
    </row>
    <row r="728" ht="12.75" spans="1:15">
      <c r="A728" s="12"/>
      <c r="B728" s="12"/>
      <c r="C728" s="26"/>
      <c r="D728" s="27"/>
      <c r="I728" s="12"/>
      <c r="J728" s="34"/>
      <c r="N728" s="12"/>
      <c r="O728" s="12"/>
    </row>
    <row r="729" ht="12.75" spans="1:15">
      <c r="A729" s="12"/>
      <c r="B729" s="12"/>
      <c r="C729" s="26"/>
      <c r="D729" s="27"/>
      <c r="I729" s="12"/>
      <c r="J729" s="34"/>
      <c r="N729" s="12"/>
      <c r="O729" s="12"/>
    </row>
    <row r="730" ht="12.75" spans="1:15">
      <c r="A730" s="12"/>
      <c r="B730" s="12"/>
      <c r="C730" s="26"/>
      <c r="D730" s="27"/>
      <c r="I730" s="12"/>
      <c r="J730" s="34"/>
      <c r="N730" s="12"/>
      <c r="O730" s="12"/>
    </row>
    <row r="731" ht="12.75" spans="1:15">
      <c r="A731" s="12"/>
      <c r="B731" s="12"/>
      <c r="C731" s="26"/>
      <c r="D731" s="27"/>
      <c r="I731" s="12"/>
      <c r="J731" s="34"/>
      <c r="N731" s="12"/>
      <c r="O731" s="12"/>
    </row>
    <row r="732" ht="12.75" spans="1:15">
      <c r="A732" s="12"/>
      <c r="B732" s="12"/>
      <c r="C732" s="26"/>
      <c r="D732" s="27"/>
      <c r="I732" s="12"/>
      <c r="J732" s="34"/>
      <c r="N732" s="12"/>
      <c r="O732" s="12"/>
    </row>
    <row r="733" ht="12.75" spans="1:15">
      <c r="A733" s="12"/>
      <c r="B733" s="12"/>
      <c r="C733" s="26"/>
      <c r="D733" s="27"/>
      <c r="I733" s="12"/>
      <c r="J733" s="34"/>
      <c r="N733" s="12"/>
      <c r="O733" s="12"/>
    </row>
    <row r="734" ht="12.75" spans="1:15">
      <c r="A734" s="12"/>
      <c r="B734" s="12"/>
      <c r="C734" s="26"/>
      <c r="D734" s="27"/>
      <c r="I734" s="12"/>
      <c r="J734" s="34"/>
      <c r="N734" s="12"/>
      <c r="O734" s="12"/>
    </row>
    <row r="735" ht="12.75" spans="1:15">
      <c r="A735" s="12"/>
      <c r="B735" s="12"/>
      <c r="C735" s="26"/>
      <c r="D735" s="27"/>
      <c r="I735" s="12"/>
      <c r="J735" s="34"/>
      <c r="N735" s="12"/>
      <c r="O735" s="12"/>
    </row>
    <row r="736" ht="12.75" spans="1:15">
      <c r="A736" s="12"/>
      <c r="B736" s="12"/>
      <c r="C736" s="26"/>
      <c r="D736" s="27"/>
      <c r="I736" s="12"/>
      <c r="J736" s="34"/>
      <c r="N736" s="12"/>
      <c r="O736" s="12"/>
    </row>
    <row r="737" ht="12.75" spans="1:15">
      <c r="A737" s="12"/>
      <c r="B737" s="12"/>
      <c r="C737" s="26"/>
      <c r="D737" s="27"/>
      <c r="I737" s="12"/>
      <c r="J737" s="34"/>
      <c r="N737" s="12"/>
      <c r="O737" s="12"/>
    </row>
    <row r="738" ht="12.75" spans="1:15">
      <c r="A738" s="12"/>
      <c r="B738" s="12"/>
      <c r="C738" s="26"/>
      <c r="D738" s="27"/>
      <c r="I738" s="12"/>
      <c r="J738" s="34"/>
      <c r="N738" s="12"/>
      <c r="O738" s="12"/>
    </row>
    <row r="739" ht="12.75" spans="1:15">
      <c r="A739" s="12"/>
      <c r="B739" s="12"/>
      <c r="C739" s="26"/>
      <c r="D739" s="27"/>
      <c r="I739" s="12"/>
      <c r="J739" s="34"/>
      <c r="N739" s="12"/>
      <c r="O739" s="12"/>
    </row>
    <row r="740" ht="12.75" spans="1:15">
      <c r="A740" s="12"/>
      <c r="B740" s="12"/>
      <c r="C740" s="26"/>
      <c r="D740" s="27"/>
      <c r="I740" s="12"/>
      <c r="J740" s="34"/>
      <c r="N740" s="12"/>
      <c r="O740" s="12"/>
    </row>
    <row r="741" ht="12.75" spans="1:15">
      <c r="A741" s="12"/>
      <c r="B741" s="12"/>
      <c r="C741" s="26"/>
      <c r="D741" s="27"/>
      <c r="I741" s="12"/>
      <c r="J741" s="34"/>
      <c r="N741" s="12"/>
      <c r="O741" s="12"/>
    </row>
    <row r="742" ht="12.75" spans="1:15">
      <c r="A742" s="12"/>
      <c r="B742" s="12"/>
      <c r="C742" s="26"/>
      <c r="D742" s="27"/>
      <c r="I742" s="12"/>
      <c r="J742" s="34"/>
      <c r="N742" s="12"/>
      <c r="O742" s="12"/>
    </row>
    <row r="743" ht="12.75" spans="1:15">
      <c r="A743" s="12"/>
      <c r="B743" s="12"/>
      <c r="C743" s="26"/>
      <c r="D743" s="27"/>
      <c r="I743" s="12"/>
      <c r="J743" s="34"/>
      <c r="N743" s="12"/>
      <c r="O743" s="12"/>
    </row>
    <row r="744" ht="12.75" spans="1:15">
      <c r="A744" s="12"/>
      <c r="B744" s="12"/>
      <c r="C744" s="26"/>
      <c r="D744" s="27"/>
      <c r="I744" s="12"/>
      <c r="J744" s="34"/>
      <c r="N744" s="12"/>
      <c r="O744" s="12"/>
    </row>
    <row r="745" ht="12.75" spans="1:15">
      <c r="A745" s="12"/>
      <c r="B745" s="12"/>
      <c r="C745" s="26"/>
      <c r="D745" s="27"/>
      <c r="I745" s="12"/>
      <c r="J745" s="34"/>
      <c r="N745" s="12"/>
      <c r="O745" s="12"/>
    </row>
    <row r="746" ht="12.75" spans="1:15">
      <c r="A746" s="12"/>
      <c r="B746" s="12"/>
      <c r="C746" s="26"/>
      <c r="D746" s="27"/>
      <c r="I746" s="12"/>
      <c r="J746" s="34"/>
      <c r="N746" s="12"/>
      <c r="O746" s="12"/>
    </row>
    <row r="747" ht="12.75" spans="1:15">
      <c r="A747" s="12"/>
      <c r="B747" s="12"/>
      <c r="C747" s="26"/>
      <c r="D747" s="27"/>
      <c r="I747" s="12"/>
      <c r="J747" s="34"/>
      <c r="N747" s="12"/>
      <c r="O747" s="12"/>
    </row>
    <row r="748" ht="12.75" spans="1:15">
      <c r="A748" s="12"/>
      <c r="B748" s="12"/>
      <c r="C748" s="26"/>
      <c r="D748" s="27"/>
      <c r="I748" s="12"/>
      <c r="J748" s="34"/>
      <c r="N748" s="12"/>
      <c r="O748" s="12"/>
    </row>
    <row r="749" ht="12.75" spans="1:15">
      <c r="A749" s="12"/>
      <c r="B749" s="12"/>
      <c r="C749" s="26"/>
      <c r="D749" s="27"/>
      <c r="I749" s="12"/>
      <c r="J749" s="34"/>
      <c r="N749" s="12"/>
      <c r="O749" s="12"/>
    </row>
    <row r="750" ht="12.75" spans="1:15">
      <c r="A750" s="12"/>
      <c r="B750" s="12"/>
      <c r="C750" s="26"/>
      <c r="D750" s="27"/>
      <c r="I750" s="12"/>
      <c r="J750" s="34"/>
      <c r="N750" s="12"/>
      <c r="O750" s="12"/>
    </row>
    <row r="751" ht="12.75" spans="1:15">
      <c r="A751" s="12"/>
      <c r="B751" s="12"/>
      <c r="C751" s="26"/>
      <c r="D751" s="27"/>
      <c r="I751" s="12"/>
      <c r="J751" s="34"/>
      <c r="N751" s="12"/>
      <c r="O751" s="12"/>
    </row>
    <row r="752" ht="12.75" spans="1:15">
      <c r="A752" s="12"/>
      <c r="B752" s="12"/>
      <c r="C752" s="26"/>
      <c r="D752" s="27"/>
      <c r="I752" s="12"/>
      <c r="J752" s="34"/>
      <c r="N752" s="12"/>
      <c r="O752" s="12"/>
    </row>
    <row r="753" ht="12.75" spans="1:15">
      <c r="A753" s="12"/>
      <c r="B753" s="12"/>
      <c r="C753" s="26"/>
      <c r="D753" s="27"/>
      <c r="I753" s="12"/>
      <c r="J753" s="34"/>
      <c r="N753" s="12"/>
      <c r="O753" s="12"/>
    </row>
    <row r="754" ht="12.75" spans="1:15">
      <c r="A754" s="12"/>
      <c r="B754" s="12"/>
      <c r="C754" s="26"/>
      <c r="D754" s="27"/>
      <c r="I754" s="12"/>
      <c r="J754" s="34"/>
      <c r="N754" s="12"/>
      <c r="O754" s="12"/>
    </row>
    <row r="755" ht="12.75" spans="1:15">
      <c r="A755" s="12"/>
      <c r="B755" s="12"/>
      <c r="C755" s="26"/>
      <c r="D755" s="27"/>
      <c r="I755" s="12"/>
      <c r="J755" s="34"/>
      <c r="N755" s="12"/>
      <c r="O755" s="12"/>
    </row>
    <row r="756" ht="12.75" spans="1:15">
      <c r="A756" s="12"/>
      <c r="B756" s="12"/>
      <c r="C756" s="26"/>
      <c r="D756" s="27"/>
      <c r="I756" s="12"/>
      <c r="J756" s="34"/>
      <c r="N756" s="12"/>
      <c r="O756" s="12"/>
    </row>
    <row r="757" ht="12.75" spans="1:15">
      <c r="A757" s="12"/>
      <c r="B757" s="12"/>
      <c r="C757" s="26"/>
      <c r="D757" s="27"/>
      <c r="I757" s="12"/>
      <c r="J757" s="34"/>
      <c r="N757" s="12"/>
      <c r="O757" s="12"/>
    </row>
    <row r="758" ht="12.75" spans="1:15">
      <c r="A758" s="12"/>
      <c r="B758" s="12"/>
      <c r="C758" s="26"/>
      <c r="D758" s="27"/>
      <c r="I758" s="12"/>
      <c r="J758" s="34"/>
      <c r="N758" s="12"/>
      <c r="O758" s="12"/>
    </row>
    <row r="759" ht="12.75" spans="1:15">
      <c r="A759" s="12"/>
      <c r="B759" s="12"/>
      <c r="C759" s="26"/>
      <c r="D759" s="27"/>
      <c r="I759" s="12"/>
      <c r="J759" s="34"/>
      <c r="N759" s="12"/>
      <c r="O759" s="12"/>
    </row>
    <row r="760" ht="12.75" spans="1:15">
      <c r="A760" s="12"/>
      <c r="B760" s="12"/>
      <c r="C760" s="26"/>
      <c r="D760" s="27"/>
      <c r="I760" s="12"/>
      <c r="J760" s="34"/>
      <c r="N760" s="12"/>
      <c r="O760" s="12"/>
    </row>
    <row r="761" ht="12.75" spans="1:15">
      <c r="A761" s="12"/>
      <c r="B761" s="12"/>
      <c r="C761" s="26"/>
      <c r="D761" s="27"/>
      <c r="I761" s="12"/>
      <c r="J761" s="34"/>
      <c r="N761" s="12"/>
      <c r="O761" s="12"/>
    </row>
    <row r="762" ht="12.75" spans="1:15">
      <c r="A762" s="12"/>
      <c r="B762" s="12"/>
      <c r="C762" s="26"/>
      <c r="D762" s="27"/>
      <c r="I762" s="12"/>
      <c r="J762" s="34"/>
      <c r="N762" s="12"/>
      <c r="O762" s="12"/>
    </row>
    <row r="763" ht="12.75" spans="1:15">
      <c r="A763" s="12"/>
      <c r="B763" s="12"/>
      <c r="C763" s="26"/>
      <c r="D763" s="27"/>
      <c r="I763" s="12"/>
      <c r="J763" s="34"/>
      <c r="N763" s="12"/>
      <c r="O763" s="12"/>
    </row>
    <row r="764" ht="12.75" spans="1:15">
      <c r="A764" s="12"/>
      <c r="B764" s="12"/>
      <c r="C764" s="26"/>
      <c r="D764" s="27"/>
      <c r="I764" s="12"/>
      <c r="J764" s="34"/>
      <c r="N764" s="12"/>
      <c r="O764" s="12"/>
    </row>
    <row r="765" ht="12.75" spans="1:15">
      <c r="A765" s="12"/>
      <c r="B765" s="12"/>
      <c r="C765" s="26"/>
      <c r="D765" s="27"/>
      <c r="I765" s="12"/>
      <c r="J765" s="34"/>
      <c r="N765" s="12"/>
      <c r="O765" s="12"/>
    </row>
    <row r="766" ht="12.75" spans="1:15">
      <c r="A766" s="12"/>
      <c r="B766" s="12"/>
      <c r="C766" s="26"/>
      <c r="D766" s="27"/>
      <c r="I766" s="12"/>
      <c r="J766" s="34"/>
      <c r="N766" s="12"/>
      <c r="O766" s="12"/>
    </row>
    <row r="767" ht="12.75" spans="1:15">
      <c r="A767" s="12"/>
      <c r="B767" s="12"/>
      <c r="C767" s="26"/>
      <c r="D767" s="27"/>
      <c r="I767" s="12"/>
      <c r="J767" s="34"/>
      <c r="N767" s="12"/>
      <c r="O767" s="12"/>
    </row>
    <row r="768" ht="12.75" spans="1:15">
      <c r="A768" s="12"/>
      <c r="B768" s="12"/>
      <c r="C768" s="26"/>
      <c r="D768" s="27"/>
      <c r="I768" s="12"/>
      <c r="J768" s="34"/>
      <c r="N768" s="12"/>
      <c r="O768" s="12"/>
    </row>
    <row r="769" ht="12.75" spans="1:15">
      <c r="A769" s="12"/>
      <c r="B769" s="12"/>
      <c r="C769" s="26"/>
      <c r="D769" s="27"/>
      <c r="I769" s="12"/>
      <c r="J769" s="34"/>
      <c r="N769" s="12"/>
      <c r="O769" s="12"/>
    </row>
    <row r="770" ht="12.75" spans="1:15">
      <c r="A770" s="12"/>
      <c r="B770" s="12"/>
      <c r="C770" s="26"/>
      <c r="D770" s="27"/>
      <c r="I770" s="12"/>
      <c r="J770" s="34"/>
      <c r="N770" s="12"/>
      <c r="O770" s="12"/>
    </row>
    <row r="771" ht="12.75" spans="1:15">
      <c r="A771" s="12"/>
      <c r="B771" s="12"/>
      <c r="C771" s="26"/>
      <c r="D771" s="27"/>
      <c r="I771" s="12"/>
      <c r="J771" s="34"/>
      <c r="N771" s="12"/>
      <c r="O771" s="12"/>
    </row>
    <row r="772" ht="12.75" spans="1:15">
      <c r="A772" s="12"/>
      <c r="B772" s="12"/>
      <c r="C772" s="26"/>
      <c r="D772" s="27"/>
      <c r="I772" s="12"/>
      <c r="J772" s="34"/>
      <c r="N772" s="12"/>
      <c r="O772" s="12"/>
    </row>
    <row r="773" ht="12.75" spans="1:15">
      <c r="A773" s="12"/>
      <c r="B773" s="12"/>
      <c r="C773" s="26"/>
      <c r="D773" s="27"/>
      <c r="I773" s="12"/>
      <c r="J773" s="34"/>
      <c r="N773" s="12"/>
      <c r="O773" s="12"/>
    </row>
    <row r="774" ht="12.75" spans="1:15">
      <c r="A774" s="12"/>
      <c r="B774" s="12"/>
      <c r="C774" s="26"/>
      <c r="D774" s="27"/>
      <c r="I774" s="12"/>
      <c r="J774" s="34"/>
      <c r="N774" s="12"/>
      <c r="O774" s="12"/>
    </row>
    <row r="775" ht="12.75" spans="1:15">
      <c r="A775" s="12"/>
      <c r="B775" s="12"/>
      <c r="C775" s="26"/>
      <c r="D775" s="27"/>
      <c r="I775" s="12"/>
      <c r="J775" s="34"/>
      <c r="N775" s="12"/>
      <c r="O775" s="12"/>
    </row>
    <row r="776" ht="12.75" spans="1:15">
      <c r="A776" s="12"/>
      <c r="B776" s="12"/>
      <c r="C776" s="26"/>
      <c r="D776" s="27"/>
      <c r="I776" s="12"/>
      <c r="J776" s="34"/>
      <c r="N776" s="12"/>
      <c r="O776" s="12"/>
    </row>
    <row r="777" ht="12.75" spans="1:15">
      <c r="A777" s="12"/>
      <c r="B777" s="12"/>
      <c r="C777" s="26"/>
      <c r="D777" s="27"/>
      <c r="I777" s="12"/>
      <c r="J777" s="34"/>
      <c r="N777" s="12"/>
      <c r="O777" s="12"/>
    </row>
    <row r="778" ht="12.75" spans="1:15">
      <c r="A778" s="12"/>
      <c r="B778" s="12"/>
      <c r="C778" s="26"/>
      <c r="D778" s="27"/>
      <c r="I778" s="12"/>
      <c r="J778" s="34"/>
      <c r="N778" s="12"/>
      <c r="O778" s="12"/>
    </row>
    <row r="779" ht="12.75" spans="1:15">
      <c r="A779" s="12"/>
      <c r="B779" s="12"/>
      <c r="C779" s="26"/>
      <c r="D779" s="27"/>
      <c r="I779" s="12"/>
      <c r="J779" s="34"/>
      <c r="N779" s="12"/>
      <c r="O779" s="12"/>
    </row>
    <row r="780" ht="12.75" spans="1:15">
      <c r="A780" s="12"/>
      <c r="B780" s="12"/>
      <c r="C780" s="26"/>
      <c r="D780" s="27"/>
      <c r="I780" s="12"/>
      <c r="J780" s="34"/>
      <c r="N780" s="12"/>
      <c r="O780" s="12"/>
    </row>
    <row r="781" ht="12.75" spans="1:15">
      <c r="A781" s="12"/>
      <c r="B781" s="12"/>
      <c r="C781" s="26"/>
      <c r="D781" s="27"/>
      <c r="I781" s="12"/>
      <c r="J781" s="34"/>
      <c r="N781" s="12"/>
      <c r="O781" s="12"/>
    </row>
    <row r="782" ht="12.75" spans="1:15">
      <c r="A782" s="12"/>
      <c r="B782" s="12"/>
      <c r="C782" s="26"/>
      <c r="D782" s="27"/>
      <c r="I782" s="12"/>
      <c r="J782" s="34"/>
      <c r="N782" s="12"/>
      <c r="O782" s="12"/>
    </row>
    <row r="783" ht="12.75" spans="1:15">
      <c r="A783" s="12"/>
      <c r="B783" s="12"/>
      <c r="C783" s="26"/>
      <c r="D783" s="27"/>
      <c r="I783" s="12"/>
      <c r="J783" s="34"/>
      <c r="N783" s="12"/>
      <c r="O783" s="12"/>
    </row>
    <row r="784" ht="12.75" spans="1:15">
      <c r="A784" s="12"/>
      <c r="B784" s="12"/>
      <c r="C784" s="26"/>
      <c r="D784" s="27"/>
      <c r="I784" s="12"/>
      <c r="J784" s="34"/>
      <c r="N784" s="12"/>
      <c r="O784" s="12"/>
    </row>
    <row r="785" ht="12.75" spans="1:15">
      <c r="A785" s="12"/>
      <c r="B785" s="12"/>
      <c r="C785" s="26"/>
      <c r="D785" s="27"/>
      <c r="I785" s="12"/>
      <c r="J785" s="34"/>
      <c r="N785" s="12"/>
      <c r="O785" s="12"/>
    </row>
    <row r="786" ht="12.75" spans="1:15">
      <c r="A786" s="12"/>
      <c r="B786" s="12"/>
      <c r="C786" s="26"/>
      <c r="D786" s="27"/>
      <c r="I786" s="12"/>
      <c r="J786" s="34"/>
      <c r="N786" s="12"/>
      <c r="O786" s="12"/>
    </row>
    <row r="787" ht="12.75" spans="1:15">
      <c r="A787" s="12"/>
      <c r="B787" s="12"/>
      <c r="C787" s="26"/>
      <c r="D787" s="27"/>
      <c r="I787" s="12"/>
      <c r="J787" s="34"/>
      <c r="N787" s="12"/>
      <c r="O787" s="12"/>
    </row>
    <row r="788" ht="12.75" spans="1:15">
      <c r="A788" s="12"/>
      <c r="B788" s="12"/>
      <c r="C788" s="26"/>
      <c r="D788" s="27"/>
      <c r="I788" s="12"/>
      <c r="J788" s="34"/>
      <c r="N788" s="12"/>
      <c r="O788" s="12"/>
    </row>
    <row r="789" ht="12.75" spans="1:15">
      <c r="A789" s="12"/>
      <c r="B789" s="12"/>
      <c r="C789" s="26"/>
      <c r="D789" s="27"/>
      <c r="I789" s="12"/>
      <c r="J789" s="34"/>
      <c r="N789" s="12"/>
      <c r="O789" s="12"/>
    </row>
    <row r="790" ht="12.75" spans="1:15">
      <c r="A790" s="12"/>
      <c r="B790" s="12"/>
      <c r="C790" s="26"/>
      <c r="D790" s="27"/>
      <c r="I790" s="12"/>
      <c r="J790" s="34"/>
      <c r="N790" s="12"/>
      <c r="O790" s="12"/>
    </row>
    <row r="791" ht="12.75" spans="1:15">
      <c r="A791" s="12"/>
      <c r="B791" s="12"/>
      <c r="C791" s="26"/>
      <c r="D791" s="27"/>
      <c r="I791" s="12"/>
      <c r="J791" s="34"/>
      <c r="N791" s="12"/>
      <c r="O791" s="12"/>
    </row>
    <row r="792" ht="12.75" spans="1:15">
      <c r="A792" s="12"/>
      <c r="B792" s="12"/>
      <c r="C792" s="26"/>
      <c r="D792" s="27"/>
      <c r="I792" s="12"/>
      <c r="J792" s="34"/>
      <c r="N792" s="12"/>
      <c r="O792" s="12"/>
    </row>
    <row r="793" ht="12.75" spans="1:15">
      <c r="A793" s="12"/>
      <c r="B793" s="12"/>
      <c r="C793" s="26"/>
      <c r="D793" s="27"/>
      <c r="I793" s="12"/>
      <c r="J793" s="34"/>
      <c r="N793" s="12"/>
      <c r="O793" s="12"/>
    </row>
    <row r="794" ht="12.75" spans="1:15">
      <c r="A794" s="12"/>
      <c r="B794" s="12"/>
      <c r="C794" s="26"/>
      <c r="D794" s="27"/>
      <c r="I794" s="12"/>
      <c r="J794" s="34"/>
      <c r="N794" s="12"/>
      <c r="O794" s="12"/>
    </row>
    <row r="795" ht="12.75" spans="1:15">
      <c r="A795" s="12"/>
      <c r="B795" s="12"/>
      <c r="C795" s="26"/>
      <c r="D795" s="27"/>
      <c r="I795" s="12"/>
      <c r="J795" s="34"/>
      <c r="N795" s="12"/>
      <c r="O795" s="12"/>
    </row>
    <row r="796" ht="12.75" spans="1:15">
      <c r="A796" s="12"/>
      <c r="B796" s="12"/>
      <c r="C796" s="26"/>
      <c r="D796" s="27"/>
      <c r="I796" s="12"/>
      <c r="J796" s="34"/>
      <c r="N796" s="12"/>
      <c r="O796" s="12"/>
    </row>
    <row r="797" ht="12.75" spans="1:15">
      <c r="A797" s="12"/>
      <c r="B797" s="12"/>
      <c r="C797" s="26"/>
      <c r="D797" s="27"/>
      <c r="I797" s="12"/>
      <c r="J797" s="34"/>
      <c r="N797" s="12"/>
      <c r="O797" s="12"/>
    </row>
    <row r="798" ht="12.75" spans="1:15">
      <c r="A798" s="12"/>
      <c r="B798" s="12"/>
      <c r="C798" s="26"/>
      <c r="D798" s="27"/>
      <c r="I798" s="12"/>
      <c r="J798" s="34"/>
      <c r="N798" s="12"/>
      <c r="O798" s="12"/>
    </row>
    <row r="799" ht="12.75" spans="1:15">
      <c r="A799" s="12"/>
      <c r="B799" s="12"/>
      <c r="C799" s="26"/>
      <c r="D799" s="27"/>
      <c r="I799" s="12"/>
      <c r="J799" s="34"/>
      <c r="N799" s="12"/>
      <c r="O799" s="12"/>
    </row>
    <row r="800" ht="12.75" spans="1:15">
      <c r="A800" s="12"/>
      <c r="B800" s="12"/>
      <c r="C800" s="26"/>
      <c r="D800" s="27"/>
      <c r="I800" s="12"/>
      <c r="J800" s="34"/>
      <c r="N800" s="12"/>
      <c r="O800" s="12"/>
    </row>
    <row r="801" ht="12.75" spans="1:15">
      <c r="A801" s="12"/>
      <c r="B801" s="12"/>
      <c r="C801" s="26"/>
      <c r="D801" s="27"/>
      <c r="I801" s="12"/>
      <c r="J801" s="34"/>
      <c r="N801" s="12"/>
      <c r="O801" s="12"/>
    </row>
    <row r="802" ht="12.75" spans="1:15">
      <c r="A802" s="12"/>
      <c r="B802" s="12"/>
      <c r="C802" s="26"/>
      <c r="D802" s="27"/>
      <c r="I802" s="12"/>
      <c r="J802" s="34"/>
      <c r="N802" s="12"/>
      <c r="O802" s="12"/>
    </row>
    <row r="803" ht="12.75" spans="1:15">
      <c r="A803" s="12"/>
      <c r="B803" s="12"/>
      <c r="C803" s="26"/>
      <c r="D803" s="27"/>
      <c r="I803" s="12"/>
      <c r="J803" s="34"/>
      <c r="N803" s="12"/>
      <c r="O803" s="12"/>
    </row>
    <row r="804" ht="12.75" spans="1:15">
      <c r="A804" s="12"/>
      <c r="B804" s="12"/>
      <c r="C804" s="26"/>
      <c r="D804" s="27"/>
      <c r="I804" s="12"/>
      <c r="J804" s="34"/>
      <c r="N804" s="12"/>
      <c r="O804" s="12"/>
    </row>
    <row r="805" ht="12.75" spans="1:15">
      <c r="A805" s="12"/>
      <c r="B805" s="12"/>
      <c r="C805" s="26"/>
      <c r="D805" s="27"/>
      <c r="I805" s="12"/>
      <c r="J805" s="34"/>
      <c r="N805" s="12"/>
      <c r="O805" s="12"/>
    </row>
    <row r="806" ht="12.75" spans="1:15">
      <c r="A806" s="12"/>
      <c r="B806" s="12"/>
      <c r="C806" s="26"/>
      <c r="D806" s="27"/>
      <c r="I806" s="12"/>
      <c r="J806" s="34"/>
      <c r="N806" s="12"/>
      <c r="O806" s="12"/>
    </row>
    <row r="807" ht="12.75" spans="1:15">
      <c r="A807" s="12"/>
      <c r="B807" s="12"/>
      <c r="C807" s="26"/>
      <c r="D807" s="27"/>
      <c r="I807" s="12"/>
      <c r="J807" s="34"/>
      <c r="N807" s="12"/>
      <c r="O807" s="12"/>
    </row>
    <row r="808" ht="12.75" spans="1:15">
      <c r="A808" s="12"/>
      <c r="B808" s="12"/>
      <c r="C808" s="26"/>
      <c r="D808" s="27"/>
      <c r="I808" s="12"/>
      <c r="J808" s="34"/>
      <c r="N808" s="12"/>
      <c r="O808" s="12"/>
    </row>
    <row r="809" ht="12.75" spans="1:15">
      <c r="A809" s="12"/>
      <c r="B809" s="12"/>
      <c r="C809" s="26"/>
      <c r="D809" s="27"/>
      <c r="I809" s="12"/>
      <c r="J809" s="34"/>
      <c r="N809" s="12"/>
      <c r="O809" s="12"/>
    </row>
    <row r="810" ht="12.75" spans="1:15">
      <c r="A810" s="12"/>
      <c r="B810" s="12"/>
      <c r="C810" s="26"/>
      <c r="D810" s="27"/>
      <c r="I810" s="12"/>
      <c r="J810" s="34"/>
      <c r="N810" s="12"/>
      <c r="O810" s="12"/>
    </row>
    <row r="811" ht="12.75" spans="1:15">
      <c r="A811" s="12"/>
      <c r="B811" s="12"/>
      <c r="C811" s="26"/>
      <c r="D811" s="27"/>
      <c r="I811" s="12"/>
      <c r="J811" s="34"/>
      <c r="N811" s="12"/>
      <c r="O811" s="12"/>
    </row>
    <row r="812" ht="12.75" spans="1:15">
      <c r="A812" s="12"/>
      <c r="B812" s="12"/>
      <c r="C812" s="26"/>
      <c r="D812" s="27"/>
      <c r="I812" s="12"/>
      <c r="J812" s="34"/>
      <c r="N812" s="12"/>
      <c r="O812" s="12"/>
    </row>
    <row r="813" ht="12.75" spans="1:15">
      <c r="A813" s="12"/>
      <c r="B813" s="12"/>
      <c r="C813" s="26"/>
      <c r="D813" s="27"/>
      <c r="I813" s="12"/>
      <c r="J813" s="34"/>
      <c r="N813" s="12"/>
      <c r="O813" s="12"/>
    </row>
    <row r="814" ht="12.75" spans="1:15">
      <c r="A814" s="12"/>
      <c r="B814" s="12"/>
      <c r="C814" s="26"/>
      <c r="D814" s="27"/>
      <c r="I814" s="12"/>
      <c r="J814" s="34"/>
      <c r="N814" s="12"/>
      <c r="O814" s="12"/>
    </row>
    <row r="815" ht="12.75" spans="1:15">
      <c r="A815" s="12"/>
      <c r="B815" s="12"/>
      <c r="C815" s="26"/>
      <c r="D815" s="27"/>
      <c r="I815" s="12"/>
      <c r="J815" s="34"/>
      <c r="N815" s="12"/>
      <c r="O815" s="12"/>
    </row>
    <row r="816" ht="12.75" spans="1:15">
      <c r="A816" s="12"/>
      <c r="B816" s="12"/>
      <c r="C816" s="26"/>
      <c r="D816" s="27"/>
      <c r="I816" s="12"/>
      <c r="J816" s="34"/>
      <c r="N816" s="12"/>
      <c r="O816" s="12"/>
    </row>
    <row r="817" ht="12.75" spans="1:15">
      <c r="A817" s="12"/>
      <c r="B817" s="12"/>
      <c r="C817" s="26"/>
      <c r="D817" s="27"/>
      <c r="I817" s="12"/>
      <c r="J817" s="34"/>
      <c r="N817" s="12"/>
      <c r="O817" s="12"/>
    </row>
    <row r="818" ht="12.75" spans="1:15">
      <c r="A818" s="12"/>
      <c r="B818" s="12"/>
      <c r="C818" s="26"/>
      <c r="D818" s="27"/>
      <c r="I818" s="12"/>
      <c r="J818" s="34"/>
      <c r="N818" s="12"/>
      <c r="O818" s="12"/>
    </row>
    <row r="819" ht="12.75" spans="1:15">
      <c r="A819" s="12"/>
      <c r="B819" s="12"/>
      <c r="C819" s="26"/>
      <c r="D819" s="27"/>
      <c r="I819" s="12"/>
      <c r="J819" s="34"/>
      <c r="N819" s="12"/>
      <c r="O819" s="12"/>
    </row>
    <row r="820" ht="12.75" spans="1:15">
      <c r="A820" s="12"/>
      <c r="B820" s="12"/>
      <c r="C820" s="26"/>
      <c r="D820" s="27"/>
      <c r="I820" s="12"/>
      <c r="J820" s="34"/>
      <c r="N820" s="12"/>
      <c r="O820" s="12"/>
    </row>
    <row r="821" ht="12.75" spans="1:15">
      <c r="A821" s="12"/>
      <c r="B821" s="12"/>
      <c r="C821" s="26"/>
      <c r="D821" s="27"/>
      <c r="I821" s="12"/>
      <c r="J821" s="34"/>
      <c r="N821" s="12"/>
      <c r="O821" s="12"/>
    </row>
    <row r="822" ht="12.75" spans="1:15">
      <c r="A822" s="12"/>
      <c r="B822" s="12"/>
      <c r="C822" s="26"/>
      <c r="D822" s="27"/>
      <c r="I822" s="12"/>
      <c r="J822" s="34"/>
      <c r="N822" s="12"/>
      <c r="O822" s="12"/>
    </row>
    <row r="823" ht="12.75" spans="1:15">
      <c r="A823" s="12"/>
      <c r="B823" s="12"/>
      <c r="C823" s="26"/>
      <c r="D823" s="27"/>
      <c r="I823" s="12"/>
      <c r="J823" s="34"/>
      <c r="N823" s="12"/>
      <c r="O823" s="12"/>
    </row>
    <row r="824" ht="12.75" spans="1:15">
      <c r="A824" s="12"/>
      <c r="B824" s="12"/>
      <c r="C824" s="26"/>
      <c r="D824" s="27"/>
      <c r="I824" s="12"/>
      <c r="J824" s="34"/>
      <c r="N824" s="12"/>
      <c r="O824" s="12"/>
    </row>
    <row r="825" ht="12.75" spans="1:15">
      <c r="A825" s="12"/>
      <c r="B825" s="12"/>
      <c r="C825" s="26"/>
      <c r="D825" s="27"/>
      <c r="I825" s="12"/>
      <c r="J825" s="34"/>
      <c r="N825" s="12"/>
      <c r="O825" s="12"/>
    </row>
    <row r="826" ht="12.75" spans="1:15">
      <c r="A826" s="12"/>
      <c r="B826" s="12"/>
      <c r="C826" s="26"/>
      <c r="D826" s="27"/>
      <c r="I826" s="12"/>
      <c r="J826" s="34"/>
      <c r="N826" s="12"/>
      <c r="O826" s="12"/>
    </row>
    <row r="827" ht="12.75" spans="1:15">
      <c r="A827" s="12"/>
      <c r="B827" s="12"/>
      <c r="C827" s="26"/>
      <c r="D827" s="27"/>
      <c r="I827" s="12"/>
      <c r="J827" s="34"/>
      <c r="N827" s="12"/>
      <c r="O827" s="12"/>
    </row>
    <row r="828" ht="12.75" spans="1:15">
      <c r="A828" s="12"/>
      <c r="B828" s="12"/>
      <c r="C828" s="26"/>
      <c r="D828" s="27"/>
      <c r="I828" s="12"/>
      <c r="J828" s="34"/>
      <c r="N828" s="12"/>
      <c r="O828" s="12"/>
    </row>
    <row r="829" ht="12.75" spans="1:15">
      <c r="A829" s="12"/>
      <c r="B829" s="12"/>
      <c r="C829" s="26"/>
      <c r="D829" s="27"/>
      <c r="I829" s="12"/>
      <c r="J829" s="34"/>
      <c r="N829" s="12"/>
      <c r="O829" s="12"/>
    </row>
    <row r="830" ht="12.75" spans="1:15">
      <c r="A830" s="12"/>
      <c r="B830" s="12"/>
      <c r="C830" s="26"/>
      <c r="D830" s="27"/>
      <c r="I830" s="12"/>
      <c r="J830" s="34"/>
      <c r="N830" s="12"/>
      <c r="O830" s="12"/>
    </row>
    <row r="831" ht="12.75" spans="1:15">
      <c r="A831" s="12"/>
      <c r="B831" s="12"/>
      <c r="C831" s="26"/>
      <c r="D831" s="27"/>
      <c r="I831" s="12"/>
      <c r="J831" s="34"/>
      <c r="N831" s="12"/>
      <c r="O831" s="12"/>
    </row>
    <row r="832" ht="12.75" spans="1:15">
      <c r="A832" s="12"/>
      <c r="B832" s="12"/>
      <c r="C832" s="26"/>
      <c r="D832" s="27"/>
      <c r="I832" s="12"/>
      <c r="J832" s="34"/>
      <c r="N832" s="12"/>
      <c r="O832" s="12"/>
    </row>
    <row r="833" ht="12.75" spans="1:15">
      <c r="A833" s="12"/>
      <c r="B833" s="12"/>
      <c r="C833" s="26"/>
      <c r="D833" s="27"/>
      <c r="I833" s="12"/>
      <c r="J833" s="34"/>
      <c r="N833" s="12"/>
      <c r="O833" s="12"/>
    </row>
    <row r="834" ht="12.75" spans="1:15">
      <c r="A834" s="12"/>
      <c r="B834" s="12"/>
      <c r="C834" s="26"/>
      <c r="D834" s="27"/>
      <c r="I834" s="12"/>
      <c r="J834" s="34"/>
      <c r="N834" s="12"/>
      <c r="O834" s="12"/>
    </row>
    <row r="835" ht="12.75" spans="1:15">
      <c r="A835" s="12"/>
      <c r="B835" s="12"/>
      <c r="C835" s="26"/>
      <c r="D835" s="27"/>
      <c r="I835" s="12"/>
      <c r="J835" s="34"/>
      <c r="N835" s="12"/>
      <c r="O835" s="12"/>
    </row>
    <row r="836" ht="12.75" spans="1:15">
      <c r="A836" s="12"/>
      <c r="B836" s="12"/>
      <c r="C836" s="26"/>
      <c r="D836" s="27"/>
      <c r="I836" s="12"/>
      <c r="J836" s="34"/>
      <c r="N836" s="12"/>
      <c r="O836" s="12"/>
    </row>
    <row r="837" ht="12.75" spans="1:15">
      <c r="A837" s="12"/>
      <c r="B837" s="12"/>
      <c r="C837" s="26"/>
      <c r="D837" s="27"/>
      <c r="I837" s="12"/>
      <c r="J837" s="34"/>
      <c r="N837" s="12"/>
      <c r="O837" s="12"/>
    </row>
    <row r="838" ht="12.75" spans="1:15">
      <c r="A838" s="12"/>
      <c r="B838" s="12"/>
      <c r="C838" s="26"/>
      <c r="D838" s="27"/>
      <c r="I838" s="12"/>
      <c r="J838" s="34"/>
      <c r="N838" s="12"/>
      <c r="O838" s="12"/>
    </row>
    <row r="839" ht="12.75" spans="1:15">
      <c r="A839" s="12"/>
      <c r="B839" s="12"/>
      <c r="C839" s="26"/>
      <c r="D839" s="27"/>
      <c r="I839" s="12"/>
      <c r="J839" s="34"/>
      <c r="N839" s="12"/>
      <c r="O839" s="12"/>
    </row>
    <row r="840" ht="12.75" spans="1:15">
      <c r="A840" s="12"/>
      <c r="B840" s="12"/>
      <c r="C840" s="26"/>
      <c r="D840" s="27"/>
      <c r="I840" s="12"/>
      <c r="J840" s="34"/>
      <c r="N840" s="12"/>
      <c r="O840" s="12"/>
    </row>
    <row r="841" ht="12.75" spans="1:15">
      <c r="A841" s="12"/>
      <c r="B841" s="12"/>
      <c r="C841" s="26"/>
      <c r="D841" s="27"/>
      <c r="I841" s="12"/>
      <c r="J841" s="34"/>
      <c r="N841" s="12"/>
      <c r="O841" s="12"/>
    </row>
    <row r="842" ht="12.75" spans="1:15">
      <c r="A842" s="12"/>
      <c r="B842" s="12"/>
      <c r="C842" s="26"/>
      <c r="D842" s="27"/>
      <c r="I842" s="12"/>
      <c r="J842" s="34"/>
      <c r="N842" s="12"/>
      <c r="O842" s="12"/>
    </row>
    <row r="843" ht="12.75" spans="1:15">
      <c r="A843" s="12"/>
      <c r="B843" s="12"/>
      <c r="C843" s="26"/>
      <c r="D843" s="27"/>
      <c r="I843" s="12"/>
      <c r="J843" s="34"/>
      <c r="N843" s="12"/>
      <c r="O843" s="12"/>
    </row>
    <row r="844" ht="12.75" spans="1:15">
      <c r="A844" s="12"/>
      <c r="B844" s="12"/>
      <c r="C844" s="26"/>
      <c r="D844" s="27"/>
      <c r="I844" s="12"/>
      <c r="J844" s="34"/>
      <c r="N844" s="12"/>
      <c r="O844" s="12"/>
    </row>
    <row r="845" ht="12.75" spans="1:15">
      <c r="A845" s="12"/>
      <c r="B845" s="12"/>
      <c r="C845" s="26"/>
      <c r="D845" s="27"/>
      <c r="I845" s="12"/>
      <c r="J845" s="34"/>
      <c r="N845" s="12"/>
      <c r="O845" s="12"/>
    </row>
    <row r="846" ht="12.75" spans="1:15">
      <c r="A846" s="12"/>
      <c r="B846" s="12"/>
      <c r="C846" s="26"/>
      <c r="D846" s="27"/>
      <c r="I846" s="12"/>
      <c r="J846" s="34"/>
      <c r="N846" s="12"/>
      <c r="O846" s="12"/>
    </row>
    <row r="847" ht="12.75" spans="1:15">
      <c r="A847" s="12"/>
      <c r="B847" s="12"/>
      <c r="C847" s="26"/>
      <c r="D847" s="27"/>
      <c r="I847" s="12"/>
      <c r="J847" s="34"/>
      <c r="N847" s="12"/>
      <c r="O847" s="12"/>
    </row>
    <row r="848" ht="12.75" spans="1:15">
      <c r="A848" s="12"/>
      <c r="B848" s="12"/>
      <c r="C848" s="26"/>
      <c r="D848" s="27"/>
      <c r="I848" s="12"/>
      <c r="J848" s="34"/>
      <c r="N848" s="12"/>
      <c r="O848" s="12"/>
    </row>
    <row r="849" ht="12.75" spans="1:15">
      <c r="A849" s="12"/>
      <c r="B849" s="12"/>
      <c r="C849" s="26"/>
      <c r="D849" s="27"/>
      <c r="I849" s="12"/>
      <c r="J849" s="34"/>
      <c r="N849" s="12"/>
      <c r="O849" s="12"/>
    </row>
    <row r="850" ht="12.75" spans="1:15">
      <c r="A850" s="12"/>
      <c r="B850" s="12"/>
      <c r="C850" s="26"/>
      <c r="D850" s="27"/>
      <c r="I850" s="12"/>
      <c r="J850" s="34"/>
      <c r="N850" s="12"/>
      <c r="O850" s="12"/>
    </row>
    <row r="851" ht="12.75" spans="1:15">
      <c r="A851" s="12"/>
      <c r="B851" s="12"/>
      <c r="C851" s="26"/>
      <c r="D851" s="27"/>
      <c r="I851" s="12"/>
      <c r="J851" s="34"/>
      <c r="N851" s="12"/>
      <c r="O851" s="12"/>
    </row>
    <row r="852" ht="12.75" spans="1:15">
      <c r="A852" s="12"/>
      <c r="B852" s="12"/>
      <c r="C852" s="26"/>
      <c r="D852" s="27"/>
      <c r="I852" s="12"/>
      <c r="J852" s="34"/>
      <c r="N852" s="12"/>
      <c r="O852" s="12"/>
    </row>
    <row r="853" ht="12.75" spans="1:15">
      <c r="A853" s="12"/>
      <c r="B853" s="12"/>
      <c r="C853" s="26"/>
      <c r="D853" s="27"/>
      <c r="I853" s="12"/>
      <c r="J853" s="34"/>
      <c r="N853" s="12"/>
      <c r="O853" s="12"/>
    </row>
    <row r="854" ht="12.75" spans="1:15">
      <c r="A854" s="12"/>
      <c r="B854" s="12"/>
      <c r="C854" s="26"/>
      <c r="D854" s="27"/>
      <c r="I854" s="12"/>
      <c r="J854" s="34"/>
      <c r="N854" s="12"/>
      <c r="O854" s="12"/>
    </row>
    <row r="855" ht="12.75" spans="1:15">
      <c r="A855" s="12"/>
      <c r="B855" s="12"/>
      <c r="C855" s="26"/>
      <c r="D855" s="27"/>
      <c r="I855" s="12"/>
      <c r="J855" s="34"/>
      <c r="N855" s="12"/>
      <c r="O855" s="12"/>
    </row>
    <row r="856" ht="12.75" spans="1:15">
      <c r="A856" s="12"/>
      <c r="B856" s="12"/>
      <c r="C856" s="26"/>
      <c r="D856" s="27"/>
      <c r="I856" s="12"/>
      <c r="J856" s="34"/>
      <c r="N856" s="12"/>
      <c r="O856" s="12"/>
    </row>
    <row r="857" ht="12.75" spans="1:15">
      <c r="A857" s="12"/>
      <c r="B857" s="12"/>
      <c r="C857" s="26"/>
      <c r="D857" s="27"/>
      <c r="I857" s="12"/>
      <c r="J857" s="34"/>
      <c r="N857" s="12"/>
      <c r="O857" s="12"/>
    </row>
    <row r="858" ht="12.75" spans="1:15">
      <c r="A858" s="12"/>
      <c r="B858" s="12"/>
      <c r="C858" s="26"/>
      <c r="D858" s="27"/>
      <c r="I858" s="12"/>
      <c r="J858" s="34"/>
      <c r="N858" s="12"/>
      <c r="O858" s="12"/>
    </row>
    <row r="859" ht="12.75" spans="1:15">
      <c r="A859" s="12"/>
      <c r="B859" s="12"/>
      <c r="C859" s="26"/>
      <c r="D859" s="27"/>
      <c r="I859" s="12"/>
      <c r="J859" s="34"/>
      <c r="N859" s="12"/>
      <c r="O859" s="12"/>
    </row>
    <row r="860" ht="12.75" spans="1:15">
      <c r="A860" s="12"/>
      <c r="B860" s="12"/>
      <c r="C860" s="26"/>
      <c r="D860" s="27"/>
      <c r="I860" s="12"/>
      <c r="J860" s="34"/>
      <c r="N860" s="12"/>
      <c r="O860" s="12"/>
    </row>
    <row r="861" ht="12.75" spans="1:15">
      <c r="A861" s="12"/>
      <c r="B861" s="12"/>
      <c r="C861" s="26"/>
      <c r="D861" s="27"/>
      <c r="I861" s="12"/>
      <c r="J861" s="34"/>
      <c r="N861" s="12"/>
      <c r="O861" s="12"/>
    </row>
    <row r="862" ht="12.75" spans="1:15">
      <c r="A862" s="12"/>
      <c r="B862" s="12"/>
      <c r="C862" s="26"/>
      <c r="D862" s="27"/>
      <c r="I862" s="12"/>
      <c r="J862" s="34"/>
      <c r="N862" s="12"/>
      <c r="O862" s="12"/>
    </row>
    <row r="863" ht="12.75" spans="1:15">
      <c r="A863" s="12"/>
      <c r="B863" s="12"/>
      <c r="C863" s="26"/>
      <c r="D863" s="27"/>
      <c r="I863" s="12"/>
      <c r="J863" s="34"/>
      <c r="N863" s="12"/>
      <c r="O863" s="12"/>
    </row>
    <row r="864" ht="12.75" spans="1:15">
      <c r="A864" s="12"/>
      <c r="B864" s="12"/>
      <c r="C864" s="26"/>
      <c r="D864" s="27"/>
      <c r="I864" s="12"/>
      <c r="J864" s="34"/>
      <c r="N864" s="12"/>
      <c r="O864" s="12"/>
    </row>
    <row r="865" ht="12.75" spans="1:15">
      <c r="A865" s="12"/>
      <c r="B865" s="12"/>
      <c r="C865" s="26"/>
      <c r="D865" s="27"/>
      <c r="I865" s="12"/>
      <c r="J865" s="34"/>
      <c r="N865" s="12"/>
      <c r="O865" s="12"/>
    </row>
    <row r="866" ht="12.75" spans="1:15">
      <c r="A866" s="12"/>
      <c r="B866" s="12"/>
      <c r="C866" s="26"/>
      <c r="D866" s="27"/>
      <c r="I866" s="12"/>
      <c r="J866" s="34"/>
      <c r="N866" s="12"/>
      <c r="O866" s="12"/>
    </row>
    <row r="867" ht="12.75" spans="1:15">
      <c r="A867" s="12"/>
      <c r="B867" s="12"/>
      <c r="C867" s="26"/>
      <c r="D867" s="27"/>
      <c r="I867" s="12"/>
      <c r="J867" s="34"/>
      <c r="N867" s="12"/>
      <c r="O867" s="12"/>
    </row>
    <row r="868" ht="12.75" spans="1:15">
      <c r="A868" s="12"/>
      <c r="B868" s="12"/>
      <c r="C868" s="26"/>
      <c r="D868" s="27"/>
      <c r="I868" s="12"/>
      <c r="J868" s="34"/>
      <c r="N868" s="12"/>
      <c r="O868" s="12"/>
    </row>
    <row r="869" ht="12.75" spans="1:15">
      <c r="A869" s="12"/>
      <c r="B869" s="12"/>
      <c r="C869" s="26"/>
      <c r="D869" s="27"/>
      <c r="I869" s="12"/>
      <c r="J869" s="34"/>
      <c r="N869" s="12"/>
      <c r="O869" s="12"/>
    </row>
    <row r="870" ht="12.75" spans="1:15">
      <c r="A870" s="12"/>
      <c r="B870" s="12"/>
      <c r="C870" s="26"/>
      <c r="D870" s="27"/>
      <c r="I870" s="12"/>
      <c r="J870" s="34"/>
      <c r="N870" s="12"/>
      <c r="O870" s="12"/>
    </row>
    <row r="871" ht="12.75" spans="1:15">
      <c r="A871" s="12"/>
      <c r="B871" s="12"/>
      <c r="C871" s="26"/>
      <c r="D871" s="27"/>
      <c r="I871" s="12"/>
      <c r="J871" s="34"/>
      <c r="N871" s="12"/>
      <c r="O871" s="12"/>
    </row>
    <row r="872" ht="12.75" spans="1:15">
      <c r="A872" s="12"/>
      <c r="B872" s="12"/>
      <c r="C872" s="26"/>
      <c r="D872" s="27"/>
      <c r="I872" s="12"/>
      <c r="J872" s="34"/>
      <c r="N872" s="12"/>
      <c r="O872" s="12"/>
    </row>
    <row r="873" ht="12.75" spans="1:15">
      <c r="A873" s="12"/>
      <c r="B873" s="12"/>
      <c r="C873" s="26"/>
      <c r="D873" s="27"/>
      <c r="I873" s="12"/>
      <c r="J873" s="34"/>
      <c r="N873" s="12"/>
      <c r="O873" s="12"/>
    </row>
    <row r="874" ht="12.75" spans="1:15">
      <c r="A874" s="12"/>
      <c r="B874" s="12"/>
      <c r="C874" s="26"/>
      <c r="D874" s="27"/>
      <c r="I874" s="12"/>
      <c r="J874" s="34"/>
      <c r="N874" s="12"/>
      <c r="O874" s="12"/>
    </row>
    <row r="875" ht="12.75" spans="1:15">
      <c r="A875" s="12"/>
      <c r="B875" s="12"/>
      <c r="C875" s="26"/>
      <c r="D875" s="27"/>
      <c r="I875" s="12"/>
      <c r="J875" s="34"/>
      <c r="N875" s="12"/>
      <c r="O875" s="12"/>
    </row>
    <row r="876" ht="12.75" spans="1:15">
      <c r="A876" s="12"/>
      <c r="B876" s="12"/>
      <c r="C876" s="26"/>
      <c r="D876" s="27"/>
      <c r="I876" s="12"/>
      <c r="J876" s="34"/>
      <c r="N876" s="12"/>
      <c r="O876" s="12"/>
    </row>
    <row r="877" ht="12.75" spans="1:15">
      <c r="A877" s="12"/>
      <c r="B877" s="12"/>
      <c r="C877" s="26"/>
      <c r="D877" s="27"/>
      <c r="I877" s="12"/>
      <c r="J877" s="34"/>
      <c r="N877" s="12"/>
      <c r="O877" s="12"/>
    </row>
    <row r="878" ht="12.75" spans="1:15">
      <c r="A878" s="12"/>
      <c r="B878" s="12"/>
      <c r="C878" s="26"/>
      <c r="D878" s="27"/>
      <c r="I878" s="12"/>
      <c r="J878" s="34"/>
      <c r="N878" s="12"/>
      <c r="O878" s="12"/>
    </row>
    <row r="879" ht="12.75" spans="1:15">
      <c r="A879" s="12"/>
      <c r="B879" s="12"/>
      <c r="C879" s="26"/>
      <c r="D879" s="27"/>
      <c r="I879" s="12"/>
      <c r="J879" s="34"/>
      <c r="N879" s="12"/>
      <c r="O879" s="12"/>
    </row>
    <row r="880" ht="12.75" spans="1:15">
      <c r="A880" s="12"/>
      <c r="B880" s="12"/>
      <c r="C880" s="26"/>
      <c r="D880" s="27"/>
      <c r="I880" s="12"/>
      <c r="J880" s="34"/>
      <c r="N880" s="12"/>
      <c r="O880" s="12"/>
    </row>
    <row r="881" ht="12.75" spans="1:15">
      <c r="A881" s="12"/>
      <c r="B881" s="12"/>
      <c r="C881" s="26"/>
      <c r="D881" s="27"/>
      <c r="I881" s="12"/>
      <c r="J881" s="34"/>
      <c r="N881" s="12"/>
      <c r="O881" s="12"/>
    </row>
    <row r="882" ht="12.75" spans="1:15">
      <c r="A882" s="12"/>
      <c r="B882" s="12"/>
      <c r="C882" s="26"/>
      <c r="D882" s="27"/>
      <c r="I882" s="12"/>
      <c r="J882" s="34"/>
      <c r="N882" s="12"/>
      <c r="O882" s="12"/>
    </row>
    <row r="883" ht="12.75" spans="1:15">
      <c r="A883" s="12"/>
      <c r="B883" s="12"/>
      <c r="C883" s="26"/>
      <c r="D883" s="27"/>
      <c r="I883" s="12"/>
      <c r="J883" s="34"/>
      <c r="N883" s="12"/>
      <c r="O883" s="12"/>
    </row>
    <row r="884" ht="12.75" spans="1:15">
      <c r="A884" s="12"/>
      <c r="B884" s="12"/>
      <c r="C884" s="26"/>
      <c r="D884" s="27"/>
      <c r="I884" s="12"/>
      <c r="J884" s="34"/>
      <c r="N884" s="12"/>
      <c r="O884" s="12"/>
    </row>
    <row r="885" ht="12.75" spans="1:15">
      <c r="A885" s="12"/>
      <c r="B885" s="12"/>
      <c r="C885" s="26"/>
      <c r="D885" s="27"/>
      <c r="I885" s="12"/>
      <c r="J885" s="34"/>
      <c r="N885" s="12"/>
      <c r="O885" s="12"/>
    </row>
    <row r="886" ht="12.75" spans="1:15">
      <c r="A886" s="12"/>
      <c r="B886" s="12"/>
      <c r="C886" s="26"/>
      <c r="D886" s="27"/>
      <c r="I886" s="12"/>
      <c r="J886" s="34"/>
      <c r="N886" s="12"/>
      <c r="O886" s="12"/>
    </row>
    <row r="887" ht="12.75" spans="1:15">
      <c r="A887" s="12"/>
      <c r="B887" s="12"/>
      <c r="C887" s="26"/>
      <c r="D887" s="27"/>
      <c r="I887" s="12"/>
      <c r="J887" s="34"/>
      <c r="N887" s="12"/>
      <c r="O887" s="12"/>
    </row>
    <row r="888" ht="12.75" spans="1:15">
      <c r="A888" s="12"/>
      <c r="B888" s="12"/>
      <c r="C888" s="26"/>
      <c r="D888" s="27"/>
      <c r="I888" s="12"/>
      <c r="J888" s="34"/>
      <c r="N888" s="12"/>
      <c r="O888" s="12"/>
    </row>
    <row r="889" ht="12.75" spans="1:15">
      <c r="A889" s="12"/>
      <c r="B889" s="12"/>
      <c r="C889" s="26"/>
      <c r="D889" s="27"/>
      <c r="I889" s="12"/>
      <c r="J889" s="34"/>
      <c r="N889" s="12"/>
      <c r="O889" s="12"/>
    </row>
    <row r="890" ht="12.75" spans="1:15">
      <c r="A890" s="12"/>
      <c r="B890" s="12"/>
      <c r="C890" s="26"/>
      <c r="D890" s="27"/>
      <c r="I890" s="12"/>
      <c r="J890" s="34"/>
      <c r="N890" s="12"/>
      <c r="O890" s="12"/>
    </row>
    <row r="891" ht="12.75" spans="1:15">
      <c r="A891" s="12"/>
      <c r="B891" s="12"/>
      <c r="C891" s="26"/>
      <c r="D891" s="27"/>
      <c r="I891" s="12"/>
      <c r="J891" s="34"/>
      <c r="N891" s="12"/>
      <c r="O891" s="12"/>
    </row>
    <row r="892" ht="12.75" spans="1:15">
      <c r="A892" s="12"/>
      <c r="B892" s="12"/>
      <c r="C892" s="26"/>
      <c r="D892" s="27"/>
      <c r="I892" s="12"/>
      <c r="J892" s="34"/>
      <c r="N892" s="12"/>
      <c r="O892" s="12"/>
    </row>
    <row r="893" ht="12.75" spans="1:15">
      <c r="A893" s="12"/>
      <c r="B893" s="12"/>
      <c r="C893" s="26"/>
      <c r="D893" s="27"/>
      <c r="I893" s="12"/>
      <c r="J893" s="34"/>
      <c r="N893" s="12"/>
      <c r="O893" s="12"/>
    </row>
    <row r="894" ht="12.75" spans="1:15">
      <c r="A894" s="12"/>
      <c r="B894" s="12"/>
      <c r="C894" s="26"/>
      <c r="D894" s="27"/>
      <c r="I894" s="12"/>
      <c r="J894" s="34"/>
      <c r="N894" s="12"/>
      <c r="O894" s="12"/>
    </row>
    <row r="895" ht="12.75" spans="1:15">
      <c r="A895" s="12"/>
      <c r="B895" s="12"/>
      <c r="C895" s="26"/>
      <c r="D895" s="27"/>
      <c r="I895" s="12"/>
      <c r="J895" s="34"/>
      <c r="N895" s="12"/>
      <c r="O895" s="12"/>
    </row>
    <row r="896" ht="12.75" spans="1:15">
      <c r="A896" s="12"/>
      <c r="B896" s="12"/>
      <c r="C896" s="26"/>
      <c r="D896" s="27"/>
      <c r="I896" s="12"/>
      <c r="J896" s="34"/>
      <c r="N896" s="12"/>
      <c r="O896" s="12"/>
    </row>
    <row r="897" ht="12.75" spans="1:15">
      <c r="A897" s="12"/>
      <c r="B897" s="12"/>
      <c r="C897" s="26"/>
      <c r="D897" s="27"/>
      <c r="I897" s="12"/>
      <c r="J897" s="34"/>
      <c r="N897" s="12"/>
      <c r="O897" s="12"/>
    </row>
    <row r="898" ht="12.75" spans="1:15">
      <c r="A898" s="12"/>
      <c r="B898" s="12"/>
      <c r="C898" s="26"/>
      <c r="D898" s="27"/>
      <c r="I898" s="12"/>
      <c r="J898" s="34"/>
      <c r="N898" s="12"/>
      <c r="O898" s="12"/>
    </row>
    <row r="899" ht="12.75" spans="1:15">
      <c r="A899" s="12"/>
      <c r="B899" s="12"/>
      <c r="C899" s="26"/>
      <c r="D899" s="27"/>
      <c r="I899" s="12"/>
      <c r="J899" s="34"/>
      <c r="N899" s="12"/>
      <c r="O899" s="12"/>
    </row>
    <row r="900" ht="12.75" spans="1:15">
      <c r="A900" s="12"/>
      <c r="B900" s="12"/>
      <c r="C900" s="26"/>
      <c r="D900" s="27"/>
      <c r="I900" s="12"/>
      <c r="J900" s="34"/>
      <c r="N900" s="12"/>
      <c r="O900" s="12"/>
    </row>
    <row r="901" ht="12.75" spans="1:15">
      <c r="A901" s="12"/>
      <c r="B901" s="12"/>
      <c r="C901" s="26"/>
      <c r="D901" s="27"/>
      <c r="I901" s="12"/>
      <c r="J901" s="34"/>
      <c r="N901" s="12"/>
      <c r="O901" s="12"/>
    </row>
    <row r="902" ht="12.75" spans="1:15">
      <c r="A902" s="12"/>
      <c r="B902" s="12"/>
      <c r="C902" s="26"/>
      <c r="D902" s="27"/>
      <c r="I902" s="12"/>
      <c r="J902" s="34"/>
      <c r="N902" s="12"/>
      <c r="O902" s="12"/>
    </row>
    <row r="903" ht="12.75" spans="1:15">
      <c r="A903" s="12"/>
      <c r="B903" s="12"/>
      <c r="C903" s="26"/>
      <c r="D903" s="27"/>
      <c r="I903" s="12"/>
      <c r="J903" s="34"/>
      <c r="N903" s="12"/>
      <c r="O903" s="12"/>
    </row>
    <row r="904" ht="12.75" spans="1:15">
      <c r="A904" s="12"/>
      <c r="B904" s="12"/>
      <c r="C904" s="26"/>
      <c r="D904" s="27"/>
      <c r="I904" s="12"/>
      <c r="J904" s="34"/>
      <c r="N904" s="12"/>
      <c r="O904" s="12"/>
    </row>
    <row r="905" ht="12.75" spans="1:15">
      <c r="A905" s="12"/>
      <c r="B905" s="12"/>
      <c r="C905" s="26"/>
      <c r="D905" s="27"/>
      <c r="I905" s="12"/>
      <c r="J905" s="34"/>
      <c r="N905" s="12"/>
      <c r="O905" s="12"/>
    </row>
    <row r="906" ht="12.75" spans="1:15">
      <c r="A906" s="12"/>
      <c r="B906" s="12"/>
      <c r="C906" s="26"/>
      <c r="D906" s="27"/>
      <c r="I906" s="12"/>
      <c r="J906" s="34"/>
      <c r="N906" s="12"/>
      <c r="O906" s="12"/>
    </row>
    <row r="907" ht="12.75" spans="1:15">
      <c r="A907" s="12"/>
      <c r="B907" s="12"/>
      <c r="C907" s="26"/>
      <c r="D907" s="27"/>
      <c r="I907" s="12"/>
      <c r="J907" s="34"/>
      <c r="N907" s="12"/>
      <c r="O907" s="12"/>
    </row>
    <row r="908" ht="12.75" spans="1:15">
      <c r="A908" s="12"/>
      <c r="B908" s="12"/>
      <c r="C908" s="26"/>
      <c r="D908" s="27"/>
      <c r="I908" s="12"/>
      <c r="J908" s="34"/>
      <c r="N908" s="12"/>
      <c r="O908" s="12"/>
    </row>
    <row r="909" ht="12.75" spans="1:15">
      <c r="A909" s="12"/>
      <c r="B909" s="12"/>
      <c r="C909" s="26"/>
      <c r="D909" s="27"/>
      <c r="I909" s="12"/>
      <c r="J909" s="34"/>
      <c r="N909" s="12"/>
      <c r="O909" s="12"/>
    </row>
    <row r="910" ht="12.75" spans="1:15">
      <c r="A910" s="12"/>
      <c r="B910" s="12"/>
      <c r="C910" s="26"/>
      <c r="D910" s="27"/>
      <c r="I910" s="12"/>
      <c r="J910" s="34"/>
      <c r="N910" s="12"/>
      <c r="O910" s="12"/>
    </row>
    <row r="911" ht="12.75" spans="1:15">
      <c r="A911" s="12"/>
      <c r="B911" s="12"/>
      <c r="C911" s="26"/>
      <c r="D911" s="27"/>
      <c r="I911" s="12"/>
      <c r="J911" s="34"/>
      <c r="N911" s="12"/>
      <c r="O911" s="12"/>
    </row>
    <row r="912" ht="12.75" spans="1:15">
      <c r="A912" s="12"/>
      <c r="B912" s="12"/>
      <c r="C912" s="26"/>
      <c r="D912" s="27"/>
      <c r="I912" s="12"/>
      <c r="J912" s="34"/>
      <c r="N912" s="12"/>
      <c r="O912" s="12"/>
    </row>
    <row r="913" ht="12.75" spans="1:15">
      <c r="A913" s="12"/>
      <c r="B913" s="12"/>
      <c r="C913" s="26"/>
      <c r="D913" s="27"/>
      <c r="I913" s="12"/>
      <c r="J913" s="34"/>
      <c r="N913" s="12"/>
      <c r="O913" s="12"/>
    </row>
    <row r="914" ht="12.75" spans="1:15">
      <c r="A914" s="12"/>
      <c r="B914" s="12"/>
      <c r="C914" s="26"/>
      <c r="D914" s="27"/>
      <c r="I914" s="12"/>
      <c r="J914" s="34"/>
      <c r="N914" s="12"/>
      <c r="O914" s="12"/>
    </row>
    <row r="915" ht="12.75" spans="1:15">
      <c r="A915" s="12"/>
      <c r="B915" s="12"/>
      <c r="C915" s="26"/>
      <c r="D915" s="27"/>
      <c r="I915" s="12"/>
      <c r="J915" s="34"/>
      <c r="N915" s="12"/>
      <c r="O915" s="12"/>
    </row>
    <row r="916" ht="12.75" spans="1:15">
      <c r="A916" s="12"/>
      <c r="B916" s="12"/>
      <c r="C916" s="26"/>
      <c r="D916" s="27"/>
      <c r="I916" s="12"/>
      <c r="J916" s="34"/>
      <c r="N916" s="12"/>
      <c r="O916" s="12"/>
    </row>
    <row r="917" ht="12.75" spans="1:15">
      <c r="A917" s="12"/>
      <c r="B917" s="12"/>
      <c r="C917" s="26"/>
      <c r="D917" s="27"/>
      <c r="I917" s="12"/>
      <c r="J917" s="34"/>
      <c r="N917" s="12"/>
      <c r="O917" s="12"/>
    </row>
    <row r="918" ht="12.75" spans="1:15">
      <c r="A918" s="12"/>
      <c r="B918" s="12"/>
      <c r="C918" s="26"/>
      <c r="D918" s="27"/>
      <c r="I918" s="12"/>
      <c r="J918" s="34"/>
      <c r="N918" s="12"/>
      <c r="O918" s="12"/>
    </row>
    <row r="919" ht="12.75" spans="1:15">
      <c r="A919" s="12"/>
      <c r="B919" s="12"/>
      <c r="C919" s="26"/>
      <c r="D919" s="27"/>
      <c r="I919" s="12"/>
      <c r="J919" s="34"/>
      <c r="N919" s="12"/>
      <c r="O919" s="12"/>
    </row>
    <row r="920" ht="12.75" spans="1:15">
      <c r="A920" s="12"/>
      <c r="B920" s="12"/>
      <c r="C920" s="26"/>
      <c r="D920" s="27"/>
      <c r="I920" s="12"/>
      <c r="J920" s="34"/>
      <c r="N920" s="12"/>
      <c r="O920" s="12"/>
    </row>
    <row r="921" ht="12.75" spans="1:15">
      <c r="A921" s="12"/>
      <c r="B921" s="12"/>
      <c r="C921" s="26"/>
      <c r="D921" s="27"/>
      <c r="I921" s="12"/>
      <c r="J921" s="34"/>
      <c r="N921" s="12"/>
      <c r="O921" s="12"/>
    </row>
    <row r="922" ht="12.75" spans="1:15">
      <c r="A922" s="12"/>
      <c r="B922" s="12"/>
      <c r="C922" s="26"/>
      <c r="D922" s="27"/>
      <c r="I922" s="12"/>
      <c r="J922" s="34"/>
      <c r="N922" s="12"/>
      <c r="O922" s="12"/>
    </row>
    <row r="923" ht="12.75" spans="1:15">
      <c r="A923" s="12"/>
      <c r="B923" s="12"/>
      <c r="C923" s="26"/>
      <c r="D923" s="27"/>
      <c r="I923" s="12"/>
      <c r="J923" s="34"/>
      <c r="N923" s="12"/>
      <c r="O923" s="12"/>
    </row>
    <row r="924" ht="12.75" spans="1:15">
      <c r="A924" s="12"/>
      <c r="B924" s="12"/>
      <c r="C924" s="26"/>
      <c r="D924" s="27"/>
      <c r="I924" s="12"/>
      <c r="J924" s="34"/>
      <c r="N924" s="12"/>
      <c r="O924" s="12"/>
    </row>
    <row r="925" ht="12.75" spans="1:15">
      <c r="A925" s="12"/>
      <c r="B925" s="12"/>
      <c r="C925" s="26"/>
      <c r="D925" s="27"/>
      <c r="I925" s="12"/>
      <c r="J925" s="34"/>
      <c r="N925" s="12"/>
      <c r="O925" s="12"/>
    </row>
    <row r="926" ht="12.75" spans="1:15">
      <c r="A926" s="12"/>
      <c r="B926" s="12"/>
      <c r="C926" s="26"/>
      <c r="D926" s="27"/>
      <c r="I926" s="12"/>
      <c r="J926" s="34"/>
      <c r="N926" s="12"/>
      <c r="O926" s="12"/>
    </row>
    <row r="927" ht="12.75" spans="1:15">
      <c r="A927" s="12"/>
      <c r="B927" s="12"/>
      <c r="C927" s="26"/>
      <c r="D927" s="27"/>
      <c r="I927" s="12"/>
      <c r="J927" s="34"/>
      <c r="N927" s="12"/>
      <c r="O927" s="12"/>
    </row>
    <row r="928" ht="12.75" spans="1:15">
      <c r="A928" s="12"/>
      <c r="B928" s="12"/>
      <c r="C928" s="26"/>
      <c r="D928" s="27"/>
      <c r="I928" s="12"/>
      <c r="J928" s="34"/>
      <c r="N928" s="12"/>
      <c r="O928" s="12"/>
    </row>
    <row r="929" ht="12.75" spans="1:15">
      <c r="A929" s="12"/>
      <c r="B929" s="12"/>
      <c r="C929" s="26"/>
      <c r="D929" s="27"/>
      <c r="I929" s="12"/>
      <c r="J929" s="34"/>
      <c r="N929" s="12"/>
      <c r="O929" s="12"/>
    </row>
    <row r="930" ht="12.75" spans="1:15">
      <c r="A930" s="12"/>
      <c r="B930" s="12"/>
      <c r="C930" s="26"/>
      <c r="D930" s="27"/>
      <c r="I930" s="12"/>
      <c r="J930" s="34"/>
      <c r="N930" s="12"/>
      <c r="O930" s="12"/>
    </row>
    <row r="931" ht="12.75" spans="1:15">
      <c r="A931" s="12"/>
      <c r="B931" s="12"/>
      <c r="C931" s="26"/>
      <c r="D931" s="27"/>
      <c r="I931" s="12"/>
      <c r="J931" s="34"/>
      <c r="N931" s="12"/>
      <c r="O931" s="12"/>
    </row>
    <row r="932" ht="12.75" spans="1:15">
      <c r="A932" s="12"/>
      <c r="B932" s="12"/>
      <c r="C932" s="26"/>
      <c r="D932" s="27"/>
      <c r="I932" s="12"/>
      <c r="J932" s="34"/>
      <c r="N932" s="12"/>
      <c r="O932" s="12"/>
    </row>
    <row r="933" ht="12.75" spans="1:15">
      <c r="A933" s="12"/>
      <c r="B933" s="12"/>
      <c r="C933" s="26"/>
      <c r="D933" s="27"/>
      <c r="I933" s="12"/>
      <c r="J933" s="34"/>
      <c r="N933" s="12"/>
      <c r="O933" s="12"/>
    </row>
    <row r="934" ht="12.75" spans="1:15">
      <c r="A934" s="12"/>
      <c r="B934" s="12"/>
      <c r="C934" s="26"/>
      <c r="D934" s="27"/>
      <c r="I934" s="12"/>
      <c r="J934" s="34"/>
      <c r="N934" s="12"/>
      <c r="O934" s="12"/>
    </row>
    <row r="935" ht="12.75" spans="1:15">
      <c r="A935" s="12"/>
      <c r="B935" s="12"/>
      <c r="C935" s="26"/>
      <c r="D935" s="27"/>
      <c r="I935" s="12"/>
      <c r="J935" s="34"/>
      <c r="N935" s="12"/>
      <c r="O935" s="12"/>
    </row>
    <row r="936" ht="12.75" spans="1:15">
      <c r="A936" s="12"/>
      <c r="B936" s="12"/>
      <c r="C936" s="26"/>
      <c r="D936" s="27"/>
      <c r="I936" s="12"/>
      <c r="J936" s="34"/>
      <c r="N936" s="12"/>
      <c r="O936" s="12"/>
    </row>
    <row r="937" ht="12.75" spans="1:15">
      <c r="A937" s="12"/>
      <c r="B937" s="12"/>
      <c r="C937" s="26"/>
      <c r="D937" s="27"/>
      <c r="I937" s="12"/>
      <c r="J937" s="34"/>
      <c r="N937" s="12"/>
      <c r="O937" s="12"/>
    </row>
    <row r="938" ht="12.75" spans="1:15">
      <c r="A938" s="12"/>
      <c r="B938" s="12"/>
      <c r="C938" s="26"/>
      <c r="D938" s="27"/>
      <c r="I938" s="12"/>
      <c r="J938" s="34"/>
      <c r="N938" s="12"/>
      <c r="O938" s="12"/>
    </row>
    <row r="939" ht="12.75" spans="1:15">
      <c r="A939" s="12"/>
      <c r="B939" s="12"/>
      <c r="C939" s="26"/>
      <c r="D939" s="27"/>
      <c r="I939" s="12"/>
      <c r="J939" s="34"/>
      <c r="N939" s="12"/>
      <c r="O939" s="12"/>
    </row>
    <row r="940" ht="12.75" spans="1:15">
      <c r="A940" s="12"/>
      <c r="B940" s="12"/>
      <c r="C940" s="26"/>
      <c r="D940" s="27"/>
      <c r="I940" s="12"/>
      <c r="J940" s="34"/>
      <c r="N940" s="12"/>
      <c r="O940" s="12"/>
    </row>
    <row r="941" ht="12.75" spans="1:15">
      <c r="A941" s="12"/>
      <c r="B941" s="12"/>
      <c r="C941" s="26"/>
      <c r="D941" s="27"/>
      <c r="I941" s="12"/>
      <c r="J941" s="34"/>
      <c r="N941" s="12"/>
      <c r="O941" s="12"/>
    </row>
    <row r="942" ht="12.75" spans="1:15">
      <c r="A942" s="12"/>
      <c r="B942" s="12"/>
      <c r="C942" s="26"/>
      <c r="D942" s="27"/>
      <c r="I942" s="12"/>
      <c r="J942" s="34"/>
      <c r="N942" s="12"/>
      <c r="O942" s="12"/>
    </row>
    <row r="943" ht="12.75" spans="1:15">
      <c r="A943" s="12"/>
      <c r="B943" s="12"/>
      <c r="C943" s="26"/>
      <c r="D943" s="27"/>
      <c r="I943" s="12"/>
      <c r="J943" s="34"/>
      <c r="N943" s="12"/>
      <c r="O943" s="12"/>
    </row>
    <row r="944" ht="12.75" spans="1:15">
      <c r="A944" s="12"/>
      <c r="B944" s="12"/>
      <c r="C944" s="26"/>
      <c r="D944" s="27"/>
      <c r="I944" s="12"/>
      <c r="J944" s="34"/>
      <c r="N944" s="12"/>
      <c r="O944" s="12"/>
    </row>
    <row r="945" ht="12.75" spans="1:15">
      <c r="A945" s="12"/>
      <c r="B945" s="12"/>
      <c r="C945" s="26"/>
      <c r="D945" s="27"/>
      <c r="I945" s="12"/>
      <c r="J945" s="34"/>
      <c r="N945" s="12"/>
      <c r="O945" s="12"/>
    </row>
    <row r="946" ht="12.75" spans="1:15">
      <c r="A946" s="12"/>
      <c r="B946" s="12"/>
      <c r="C946" s="26"/>
      <c r="D946" s="27"/>
      <c r="I946" s="12"/>
      <c r="J946" s="34"/>
      <c r="N946" s="12"/>
      <c r="O946" s="12"/>
    </row>
    <row r="947" ht="12.75" spans="1:15">
      <c r="A947" s="12"/>
      <c r="B947" s="12"/>
      <c r="C947" s="26"/>
      <c r="D947" s="27"/>
      <c r="I947" s="12"/>
      <c r="J947" s="34"/>
      <c r="N947" s="12"/>
      <c r="O947" s="12"/>
    </row>
    <row r="948" ht="12.75" spans="1:15">
      <c r="A948" s="12"/>
      <c r="B948" s="12"/>
      <c r="C948" s="26"/>
      <c r="D948" s="27"/>
      <c r="I948" s="12"/>
      <c r="J948" s="34"/>
      <c r="N948" s="12"/>
      <c r="O948" s="12"/>
    </row>
    <row r="949" ht="12.75" spans="1:15">
      <c r="A949" s="12"/>
      <c r="B949" s="12"/>
      <c r="C949" s="26"/>
      <c r="D949" s="27"/>
      <c r="I949" s="12"/>
      <c r="J949" s="34"/>
      <c r="N949" s="12"/>
      <c r="O949" s="12"/>
    </row>
    <row r="950" ht="12.75" spans="1:15">
      <c r="A950" s="12"/>
      <c r="B950" s="12"/>
      <c r="C950" s="26"/>
      <c r="D950" s="27"/>
      <c r="I950" s="12"/>
      <c r="J950" s="34"/>
      <c r="N950" s="12"/>
      <c r="O950" s="12"/>
    </row>
    <row r="951" ht="12.75" spans="1:15">
      <c r="A951" s="12"/>
      <c r="B951" s="12"/>
      <c r="C951" s="26"/>
      <c r="D951" s="27"/>
      <c r="I951" s="12"/>
      <c r="J951" s="34"/>
      <c r="N951" s="12"/>
      <c r="O951" s="12"/>
    </row>
    <row r="952" ht="12.75" spans="1:15">
      <c r="A952" s="12"/>
      <c r="B952" s="12"/>
      <c r="C952" s="26"/>
      <c r="D952" s="27"/>
      <c r="I952" s="12"/>
      <c r="J952" s="34"/>
      <c r="N952" s="12"/>
      <c r="O952" s="12"/>
    </row>
    <row r="953" ht="12.75" spans="1:15">
      <c r="A953" s="12"/>
      <c r="B953" s="12"/>
      <c r="C953" s="26"/>
      <c r="D953" s="27"/>
      <c r="I953" s="12"/>
      <c r="J953" s="34"/>
      <c r="N953" s="12"/>
      <c r="O953" s="12"/>
    </row>
    <row r="954" ht="12.75" spans="1:15">
      <c r="A954" s="12"/>
      <c r="B954" s="12"/>
      <c r="C954" s="26"/>
      <c r="D954" s="27"/>
      <c r="I954" s="12"/>
      <c r="J954" s="34"/>
      <c r="N954" s="12"/>
      <c r="O954" s="12"/>
    </row>
    <row r="955" ht="12.75" spans="1:15">
      <c r="A955" s="12"/>
      <c r="B955" s="12"/>
      <c r="C955" s="26"/>
      <c r="D955" s="27"/>
      <c r="I955" s="12"/>
      <c r="J955" s="34"/>
      <c r="N955" s="12"/>
      <c r="O955" s="12"/>
    </row>
    <row r="956" ht="12.75" spans="1:15">
      <c r="A956" s="12"/>
      <c r="B956" s="12"/>
      <c r="C956" s="26"/>
      <c r="D956" s="27"/>
      <c r="I956" s="12"/>
      <c r="J956" s="34"/>
      <c r="N956" s="12"/>
      <c r="O956" s="12"/>
    </row>
    <row r="957" ht="12.75" spans="1:15">
      <c r="A957" s="12"/>
      <c r="B957" s="12"/>
      <c r="C957" s="26"/>
      <c r="D957" s="27"/>
      <c r="I957" s="12"/>
      <c r="J957" s="34"/>
      <c r="N957" s="12"/>
      <c r="O957" s="12"/>
    </row>
    <row r="958" ht="12.75" spans="1:15">
      <c r="A958" s="12"/>
      <c r="B958" s="12"/>
      <c r="C958" s="26"/>
      <c r="D958" s="27"/>
      <c r="I958" s="12"/>
      <c r="J958" s="34"/>
      <c r="N958" s="12"/>
      <c r="O958" s="12"/>
    </row>
    <row r="959" ht="12.75" spans="1:15">
      <c r="A959" s="12"/>
      <c r="B959" s="12"/>
      <c r="C959" s="26"/>
      <c r="D959" s="27"/>
      <c r="I959" s="12"/>
      <c r="J959" s="34"/>
      <c r="N959" s="12"/>
      <c r="O959" s="12"/>
    </row>
    <row r="960" ht="12.75" spans="1:15">
      <c r="A960" s="12"/>
      <c r="B960" s="12"/>
      <c r="C960" s="26"/>
      <c r="D960" s="27"/>
      <c r="I960" s="12"/>
      <c r="J960" s="34"/>
      <c r="N960" s="12"/>
      <c r="O960" s="12"/>
    </row>
    <row r="961" ht="12.75" spans="1:15">
      <c r="A961" s="12"/>
      <c r="B961" s="12"/>
      <c r="C961" s="26"/>
      <c r="D961" s="27"/>
      <c r="I961" s="12"/>
      <c r="J961" s="34"/>
      <c r="N961" s="12"/>
      <c r="O961" s="12"/>
    </row>
    <row r="962" ht="12.75" spans="1:15">
      <c r="A962" s="12"/>
      <c r="B962" s="12"/>
      <c r="C962" s="26"/>
      <c r="D962" s="27"/>
      <c r="I962" s="12"/>
      <c r="J962" s="34"/>
      <c r="N962" s="12"/>
      <c r="O962" s="12"/>
    </row>
    <row r="963" ht="12.75" spans="1:15">
      <c r="A963" s="12"/>
      <c r="B963" s="12"/>
      <c r="C963" s="26"/>
      <c r="D963" s="27"/>
      <c r="I963" s="12"/>
      <c r="J963" s="34"/>
      <c r="N963" s="12"/>
      <c r="O963" s="12"/>
    </row>
    <row r="964" ht="12.75" spans="1:15">
      <c r="A964" s="12"/>
      <c r="B964" s="12"/>
      <c r="C964" s="26"/>
      <c r="D964" s="27"/>
      <c r="I964" s="12"/>
      <c r="J964" s="34"/>
      <c r="N964" s="12"/>
      <c r="O964" s="12"/>
    </row>
    <row r="965" ht="12.75" spans="1:15">
      <c r="A965" s="12"/>
      <c r="B965" s="12"/>
      <c r="C965" s="26"/>
      <c r="D965" s="27"/>
      <c r="I965" s="12"/>
      <c r="J965" s="34"/>
      <c r="N965" s="12"/>
      <c r="O965" s="12"/>
    </row>
    <row r="966" ht="12.75" spans="1:15">
      <c r="A966" s="12"/>
      <c r="B966" s="12"/>
      <c r="C966" s="26"/>
      <c r="D966" s="27"/>
      <c r="I966" s="12"/>
      <c r="J966" s="34"/>
      <c r="N966" s="12"/>
      <c r="O966" s="12"/>
    </row>
    <row r="967" ht="12.75" spans="1:15">
      <c r="A967" s="12"/>
      <c r="B967" s="12"/>
      <c r="C967" s="26"/>
      <c r="D967" s="27"/>
      <c r="I967" s="12"/>
      <c r="J967" s="34"/>
      <c r="N967" s="12"/>
      <c r="O967" s="12"/>
    </row>
    <row r="968" ht="12.75" spans="1:15">
      <c r="A968" s="12"/>
      <c r="B968" s="12"/>
      <c r="C968" s="26"/>
      <c r="D968" s="27"/>
      <c r="I968" s="12"/>
      <c r="J968" s="34"/>
      <c r="N968" s="12"/>
      <c r="O968" s="12"/>
    </row>
    <row r="969" ht="12.75" spans="1:15">
      <c r="A969" s="12"/>
      <c r="B969" s="12"/>
      <c r="C969" s="26"/>
      <c r="D969" s="27"/>
      <c r="I969" s="12"/>
      <c r="J969" s="34"/>
      <c r="N969" s="12"/>
      <c r="O969" s="12"/>
    </row>
    <row r="970" ht="12.75" spans="1:15">
      <c r="A970" s="12"/>
      <c r="B970" s="12"/>
      <c r="C970" s="26"/>
      <c r="D970" s="27"/>
      <c r="I970" s="12"/>
      <c r="J970" s="34"/>
      <c r="N970" s="12"/>
      <c r="O970" s="12"/>
    </row>
    <row r="971" ht="12.75" spans="1:15">
      <c r="A971" s="12"/>
      <c r="B971" s="12"/>
      <c r="C971" s="26"/>
      <c r="D971" s="27"/>
      <c r="I971" s="12"/>
      <c r="J971" s="34"/>
      <c r="N971" s="12"/>
      <c r="O971" s="12"/>
    </row>
    <row r="972" ht="12.75" spans="1:15">
      <c r="A972" s="12"/>
      <c r="B972" s="12"/>
      <c r="C972" s="26"/>
      <c r="D972" s="27"/>
      <c r="I972" s="12"/>
      <c r="J972" s="34"/>
      <c r="N972" s="12"/>
      <c r="O972" s="12"/>
    </row>
    <row r="973" ht="12.75" spans="1:15">
      <c r="A973" s="12"/>
      <c r="B973" s="12"/>
      <c r="C973" s="26"/>
      <c r="D973" s="27"/>
      <c r="I973" s="12"/>
      <c r="J973" s="34"/>
      <c r="N973" s="12"/>
      <c r="O973" s="12"/>
    </row>
    <row r="974" ht="12.75" spans="1:15">
      <c r="A974" s="12"/>
      <c r="B974" s="12"/>
      <c r="C974" s="26"/>
      <c r="D974" s="27"/>
      <c r="I974" s="12"/>
      <c r="J974" s="34"/>
      <c r="N974" s="12"/>
      <c r="O974" s="12"/>
    </row>
    <row r="975" ht="12.75" spans="1:15">
      <c r="A975" s="12"/>
      <c r="B975" s="12"/>
      <c r="C975" s="26"/>
      <c r="D975" s="27"/>
      <c r="I975" s="12"/>
      <c r="J975" s="34"/>
      <c r="N975" s="12"/>
      <c r="O975" s="12"/>
    </row>
    <row r="976" ht="12.75" spans="1:15">
      <c r="A976" s="12"/>
      <c r="B976" s="12"/>
      <c r="C976" s="26"/>
      <c r="D976" s="27"/>
      <c r="I976" s="12"/>
      <c r="J976" s="34"/>
      <c r="N976" s="12"/>
      <c r="O976" s="12"/>
    </row>
    <row r="977" ht="12.75" spans="1:15">
      <c r="A977" s="12"/>
      <c r="B977" s="12"/>
      <c r="C977" s="26"/>
      <c r="D977" s="27"/>
      <c r="I977" s="12"/>
      <c r="J977" s="34"/>
      <c r="N977" s="12"/>
      <c r="O977" s="12"/>
    </row>
    <row r="978" ht="12.75" spans="1:15">
      <c r="A978" s="12"/>
      <c r="B978" s="12"/>
      <c r="C978" s="26"/>
      <c r="D978" s="27"/>
      <c r="I978" s="12"/>
      <c r="J978" s="34"/>
      <c r="N978" s="12"/>
      <c r="O978" s="12"/>
    </row>
    <row r="979" ht="12.75" spans="1:15">
      <c r="A979" s="12"/>
      <c r="B979" s="12"/>
      <c r="C979" s="26"/>
      <c r="D979" s="27"/>
      <c r="I979" s="12"/>
      <c r="J979" s="34"/>
      <c r="N979" s="12"/>
      <c r="O979" s="12"/>
    </row>
    <row r="980" ht="12.75" spans="1:15">
      <c r="A980" s="12"/>
      <c r="B980" s="12"/>
      <c r="C980" s="26"/>
      <c r="D980" s="27"/>
      <c r="I980" s="12"/>
      <c r="J980" s="34"/>
      <c r="N980" s="12"/>
      <c r="O980" s="12"/>
    </row>
    <row r="981" ht="12.75" spans="1:15">
      <c r="A981" s="12"/>
      <c r="B981" s="12"/>
      <c r="C981" s="26"/>
      <c r="D981" s="27"/>
      <c r="I981" s="12"/>
      <c r="J981" s="34"/>
      <c r="N981" s="12"/>
      <c r="O981" s="12"/>
    </row>
    <row r="982" ht="12.75" spans="1:15">
      <c r="A982" s="12"/>
      <c r="B982" s="12"/>
      <c r="C982" s="26"/>
      <c r="D982" s="27"/>
      <c r="I982" s="12"/>
      <c r="J982" s="34"/>
      <c r="N982" s="12"/>
      <c r="O982" s="12"/>
    </row>
    <row r="983" ht="12.75" spans="1:15">
      <c r="A983" s="12"/>
      <c r="B983" s="12"/>
      <c r="C983" s="26"/>
      <c r="D983" s="27"/>
      <c r="I983" s="12"/>
      <c r="J983" s="34"/>
      <c r="N983" s="12"/>
      <c r="O983" s="12"/>
    </row>
    <row r="984" ht="12.75" spans="1:15">
      <c r="A984" s="12"/>
      <c r="B984" s="12"/>
      <c r="C984" s="26"/>
      <c r="D984" s="27"/>
      <c r="I984" s="12"/>
      <c r="J984" s="34"/>
      <c r="N984" s="12"/>
      <c r="O984" s="12"/>
    </row>
    <row r="985" ht="12.75" spans="1:15">
      <c r="A985" s="12"/>
      <c r="B985" s="12"/>
      <c r="C985" s="26"/>
      <c r="D985" s="27"/>
      <c r="I985" s="12"/>
      <c r="J985" s="34"/>
      <c r="N985" s="12"/>
      <c r="O985" s="12"/>
    </row>
    <row r="986" ht="12.75" spans="1:15">
      <c r="A986" s="12"/>
      <c r="B986" s="12"/>
      <c r="C986" s="26"/>
      <c r="D986" s="27"/>
      <c r="I986" s="12"/>
      <c r="J986" s="34"/>
      <c r="N986" s="12"/>
      <c r="O986" s="12"/>
    </row>
    <row r="987" ht="12.75" spans="1:15">
      <c r="A987" s="12"/>
      <c r="B987" s="12"/>
      <c r="C987" s="26"/>
      <c r="D987" s="27"/>
      <c r="I987" s="12"/>
      <c r="J987" s="34"/>
      <c r="N987" s="12"/>
      <c r="O987" s="12"/>
    </row>
    <row r="988" ht="12.75" spans="1:15">
      <c r="A988" s="12"/>
      <c r="B988" s="12"/>
      <c r="C988" s="26"/>
      <c r="D988" s="27"/>
      <c r="I988" s="12"/>
      <c r="J988" s="34"/>
      <c r="N988" s="12"/>
      <c r="O988" s="12"/>
    </row>
    <row r="989" ht="12.75" spans="1:15">
      <c r="A989" s="12"/>
      <c r="B989" s="12"/>
      <c r="C989" s="26"/>
      <c r="D989" s="27"/>
      <c r="I989" s="12"/>
      <c r="J989" s="34"/>
      <c r="N989" s="12"/>
      <c r="O989" s="12"/>
    </row>
    <row r="990" ht="12.75" spans="1:15">
      <c r="A990" s="12"/>
      <c r="B990" s="12"/>
      <c r="C990" s="26"/>
      <c r="D990" s="27"/>
      <c r="I990" s="12"/>
      <c r="J990" s="34"/>
      <c r="N990" s="12"/>
      <c r="O990" s="12"/>
    </row>
    <row r="991" ht="12.75" spans="1:15">
      <c r="A991" s="12"/>
      <c r="B991" s="12"/>
      <c r="C991" s="26"/>
      <c r="D991" s="27"/>
      <c r="I991" s="12"/>
      <c r="J991" s="34"/>
      <c r="N991" s="12"/>
      <c r="O991" s="12"/>
    </row>
    <row r="992" ht="12.75" spans="1:15">
      <c r="A992" s="12"/>
      <c r="B992" s="12"/>
      <c r="C992" s="26"/>
      <c r="D992" s="27"/>
      <c r="I992" s="12"/>
      <c r="J992" s="34"/>
      <c r="N992" s="12"/>
      <c r="O992" s="12"/>
    </row>
    <row r="993" ht="12.75" spans="1:15">
      <c r="A993" s="12"/>
      <c r="B993" s="12"/>
      <c r="C993" s="26"/>
      <c r="D993" s="27"/>
      <c r="I993" s="12"/>
      <c r="J993" s="34"/>
      <c r="N993" s="12"/>
      <c r="O993" s="12"/>
    </row>
    <row r="994" ht="12.75" spans="1:15">
      <c r="A994" s="12"/>
      <c r="B994" s="12"/>
      <c r="C994" s="26"/>
      <c r="D994" s="27"/>
      <c r="I994" s="12"/>
      <c r="J994" s="34"/>
      <c r="N994" s="12"/>
      <c r="O994" s="12"/>
    </row>
    <row r="995" ht="12.75" spans="1:15">
      <c r="A995" s="12"/>
      <c r="B995" s="12"/>
      <c r="C995" s="26"/>
      <c r="D995" s="27"/>
      <c r="I995" s="12"/>
      <c r="J995" s="34"/>
      <c r="N995" s="12"/>
      <c r="O995" s="12"/>
    </row>
    <row r="996" ht="12.75" spans="1:15">
      <c r="A996" s="12"/>
      <c r="B996" s="12"/>
      <c r="C996" s="26"/>
      <c r="D996" s="27"/>
      <c r="I996" s="12"/>
      <c r="J996" s="34"/>
      <c r="N996" s="12"/>
      <c r="O996" s="12"/>
    </row>
    <row r="997" ht="12.75" spans="1:15">
      <c r="A997" s="12"/>
      <c r="B997" s="12"/>
      <c r="C997" s="26"/>
      <c r="D997" s="27"/>
      <c r="I997" s="12"/>
      <c r="J997" s="34"/>
      <c r="N997" s="12"/>
      <c r="O997" s="12"/>
    </row>
    <row r="998" ht="12.75" spans="1:15">
      <c r="A998" s="12"/>
      <c r="B998" s="12"/>
      <c r="C998" s="26"/>
      <c r="D998" s="27"/>
      <c r="I998" s="12"/>
      <c r="J998" s="34"/>
      <c r="N998" s="12"/>
      <c r="O998" s="12"/>
    </row>
    <row r="999" ht="12.75" spans="1:15">
      <c r="A999" s="12"/>
      <c r="B999" s="12"/>
      <c r="C999" s="26"/>
      <c r="D999" s="27"/>
      <c r="I999" s="12"/>
      <c r="J999" s="34"/>
      <c r="N999" s="12"/>
      <c r="O999" s="12"/>
    </row>
    <row r="1000" ht="12.75" spans="1:15">
      <c r="A1000" s="12"/>
      <c r="B1000" s="12"/>
      <c r="C1000" s="26"/>
      <c r="D1000" s="27"/>
      <c r="I1000" s="12"/>
      <c r="J1000" s="34"/>
      <c r="N1000" s="12"/>
      <c r="O1000" s="12"/>
    </row>
  </sheetData>
  <mergeCells count="4">
    <mergeCell ref="S2:T2"/>
    <mergeCell ref="S12:T12"/>
    <mergeCell ref="L27:O27"/>
    <mergeCell ref="P27:R27"/>
  </mergeCells>
  <dataValidations count="2">
    <dataValidation type="list" allowBlank="1" showErrorMessage="1" sqref="L2">
      <formula1>PM_2!$F$2:$F$25</formula1>
    </dataValidation>
    <dataValidation type="decimal" operator="between" allowBlank="1" sqref="L3">
      <formula1>1</formula1>
      <formula2>12</formula2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0"/>
  <sheetViews>
    <sheetView workbookViewId="0">
      <selection activeCell="A1" sqref="A1"/>
    </sheetView>
  </sheetViews>
  <sheetFormatPr defaultColWidth="11.2166666666667" defaultRowHeight="15.75" customHeight="1"/>
  <sheetData>
    <row r="1" customHeight="1" spans="1:17">
      <c r="A1" s="1" t="s">
        <v>169</v>
      </c>
      <c r="B1" s="1" t="s">
        <v>281</v>
      </c>
      <c r="C1" s="2" t="s">
        <v>282</v>
      </c>
      <c r="D1" s="1" t="s">
        <v>283</v>
      </c>
      <c r="E1" s="2" t="s">
        <v>284</v>
      </c>
      <c r="F1" s="1" t="s">
        <v>209</v>
      </c>
      <c r="G1" s="2" t="s">
        <v>285</v>
      </c>
      <c r="H1" s="2" t="s">
        <v>211</v>
      </c>
      <c r="I1" s="2" t="s">
        <v>212</v>
      </c>
      <c r="J1" s="16" t="s">
        <v>286</v>
      </c>
      <c r="K1" s="17" t="s">
        <v>287</v>
      </c>
      <c r="N1" s="18" t="str">
        <f>IFERROR(__xludf.DUMMYFUNCTION("QUERY('Ações'!$A$1:$K1000,""SELECT A,C,J,D"",1)"),"TICKER")</f>
        <v>TICKER</v>
      </c>
      <c r="O1" s="18" t="str">
        <f>IFERROR(__xludf.DUMMYFUNCTION("""COMPUTED_VALUE"""),"Nr COTAS")</f>
        <v>Nr COTAS</v>
      </c>
      <c r="P1" s="18" t="str">
        <f>IFERROR(__xludf.DUMMYFUNCTION("""COMPUTED_VALUE"""),"PREÇO")</f>
        <v>PREÇO</v>
      </c>
      <c r="Q1" s="18" t="str">
        <f>IFERROR(__xludf.DUMMYFUNCTION("""COMPUTED_VALUE"""),"DATA")</f>
        <v>DATA</v>
      </c>
    </row>
    <row r="2" customHeight="1" spans="1:20">
      <c r="A2" s="3" t="s">
        <v>288</v>
      </c>
      <c r="B2" s="3" t="s">
        <v>228</v>
      </c>
      <c r="C2" s="4">
        <v>50</v>
      </c>
      <c r="D2" s="5">
        <v>43832</v>
      </c>
      <c r="E2" s="6">
        <v>19.13</v>
      </c>
      <c r="F2" s="6">
        <f t="shared" ref="F2:F53" si="0">C2*E2</f>
        <v>956.5</v>
      </c>
      <c r="G2" s="6">
        <v>0</v>
      </c>
      <c r="H2" s="6">
        <v>0</v>
      </c>
      <c r="I2" s="6"/>
      <c r="J2" s="19">
        <f t="shared" ref="J2:J53" si="1">F2+G2+H2+I2</f>
        <v>956.5</v>
      </c>
      <c r="K2" s="3"/>
      <c r="N2" s="20" t="str">
        <f>IFERROR(__xludf.DUMMYFUNCTION("""COMPUTED_VALUE"""),"ABEV3")</f>
        <v>ABEV3</v>
      </c>
      <c r="O2" s="20">
        <f>IFERROR(__xludf.DUMMYFUNCTION("""COMPUTED_VALUE"""),50)</f>
        <v>50</v>
      </c>
      <c r="P2" s="15">
        <f>IFERROR(__xludf.DUMMYFUNCTION("""COMPUTED_VALUE"""),956.5)</f>
        <v>956.5</v>
      </c>
      <c r="Q2" s="22">
        <f>IFERROR(__xludf.DUMMYFUNCTION("""COMPUTED_VALUE"""),43832)</f>
        <v>43832</v>
      </c>
      <c r="S2" s="11" t="s">
        <v>288</v>
      </c>
      <c r="T2" s="15">
        <f>SUMPRODUCT(($N$2:$N1000=S2)*($P$2:$P1000&gt;0)*$P$2:$P1000)/SUMPRODUCT(($N$2:$N1000=S2)*($O$2:$O1000&gt;0)*$O$2:$O1000)</f>
        <v>15.51</v>
      </c>
    </row>
    <row r="3" customHeight="1" spans="1:20">
      <c r="A3" s="7" t="s">
        <v>289</v>
      </c>
      <c r="B3" s="7" t="s">
        <v>228</v>
      </c>
      <c r="C3" s="8">
        <v>33</v>
      </c>
      <c r="D3" s="9">
        <v>43832</v>
      </c>
      <c r="E3" s="10">
        <v>37.27</v>
      </c>
      <c r="F3" s="10">
        <f t="shared" si="0"/>
        <v>1229.91</v>
      </c>
      <c r="G3" s="10"/>
      <c r="H3" s="10"/>
      <c r="I3" s="10"/>
      <c r="J3" s="21">
        <f t="shared" si="1"/>
        <v>1229.91</v>
      </c>
      <c r="K3" s="7"/>
      <c r="N3" s="20" t="str">
        <f>IFERROR(__xludf.DUMMYFUNCTION("""COMPUTED_VALUE"""),"BBDC4")</f>
        <v>BBDC4</v>
      </c>
      <c r="O3" s="20">
        <f>IFERROR(__xludf.DUMMYFUNCTION("""COMPUTED_VALUE"""),33)</f>
        <v>33</v>
      </c>
      <c r="P3" s="15">
        <f>IFERROR(__xludf.DUMMYFUNCTION("""COMPUTED_VALUE"""),1229.91)</f>
        <v>1229.91</v>
      </c>
      <c r="Q3" s="22">
        <f>IFERROR(__xludf.DUMMYFUNCTION("""COMPUTED_VALUE"""),43832)</f>
        <v>43832</v>
      </c>
      <c r="S3" s="11" t="s">
        <v>289</v>
      </c>
      <c r="T3" s="15">
        <f>SUMPRODUCT(($N$2:$N1001=S3)*($P$2:$P1001&gt;0)*$P$2:$P1001)/SUMPRODUCT(($N$2:$N1001=S3)*($O$2:$O1001&gt;0)*$O$2:$O1001)</f>
        <v>28.785</v>
      </c>
    </row>
    <row r="4" customHeight="1" spans="1:20">
      <c r="A4" s="11" t="s">
        <v>290</v>
      </c>
      <c r="B4" s="11" t="s">
        <v>228</v>
      </c>
      <c r="C4" s="12">
        <v>20</v>
      </c>
      <c r="D4" s="13">
        <v>43832</v>
      </c>
      <c r="E4" s="14">
        <v>63.56</v>
      </c>
      <c r="F4" s="14">
        <f t="shared" si="0"/>
        <v>1271.2</v>
      </c>
      <c r="G4" s="15"/>
      <c r="H4" s="15"/>
      <c r="I4" s="15"/>
      <c r="J4" s="15">
        <f t="shared" si="1"/>
        <v>1271.2</v>
      </c>
      <c r="N4" s="20" t="str">
        <f>IFERROR(__xludf.DUMMYFUNCTION("""COMPUTED_VALUE"""),"PSSA3")</f>
        <v>PSSA3</v>
      </c>
      <c r="O4" s="20">
        <f>IFERROR(__xludf.DUMMYFUNCTION("""COMPUTED_VALUE"""),20)</f>
        <v>20</v>
      </c>
      <c r="P4" s="15">
        <f>IFERROR(__xludf.DUMMYFUNCTION("""COMPUTED_VALUE"""),1271.2)</f>
        <v>1271.2</v>
      </c>
      <c r="Q4" s="22">
        <f>IFERROR(__xludf.DUMMYFUNCTION("""COMPUTED_VALUE"""),43832)</f>
        <v>43832</v>
      </c>
      <c r="S4" s="11" t="s">
        <v>290</v>
      </c>
      <c r="T4" s="15">
        <f>SUMPRODUCT(($N$2:$N1002=S4)*($P$2:$P1002&gt;0)*$P$2:$P1002)/SUMPRODUCT(($N$2:$N1002=S4)*($O$2:$O1002&gt;0)*$O$2:$O1002)</f>
        <v>52.6640909090909</v>
      </c>
    </row>
    <row r="5" customHeight="1" spans="1:20">
      <c r="A5" s="11" t="s">
        <v>288</v>
      </c>
      <c r="B5" s="11" t="s">
        <v>229</v>
      </c>
      <c r="C5" s="12">
        <v>50</v>
      </c>
      <c r="D5" s="13">
        <v>43957</v>
      </c>
      <c r="E5" s="14">
        <v>11.89</v>
      </c>
      <c r="F5" s="14">
        <f t="shared" si="0"/>
        <v>594.5</v>
      </c>
      <c r="J5" s="15">
        <f t="shared" si="1"/>
        <v>594.5</v>
      </c>
      <c r="N5" s="20" t="str">
        <f>IFERROR(__xludf.DUMMYFUNCTION("""COMPUTED_VALUE"""),"ABEV3")</f>
        <v>ABEV3</v>
      </c>
      <c r="O5" s="20">
        <f>IFERROR(__xludf.DUMMYFUNCTION("""COMPUTED_VALUE"""),50)</f>
        <v>50</v>
      </c>
      <c r="P5" s="15">
        <f>IFERROR(__xludf.DUMMYFUNCTION("""COMPUTED_VALUE"""),594.5)</f>
        <v>594.5</v>
      </c>
      <c r="Q5" s="22">
        <f>IFERROR(__xludf.DUMMYFUNCTION("""COMPUTED_VALUE"""),43957)</f>
        <v>43957</v>
      </c>
      <c r="S5" s="11" t="s">
        <v>291</v>
      </c>
      <c r="T5" s="15">
        <f>SUMPRODUCT(($N$2:$N1003=S5)*($P$2:$P1003&gt;0)*$P$2:$P1003)/SUMPRODUCT(($N$2:$N1003=S5)*($O$2:$O1003&gt;0)*$O$2:$O1003)</f>
        <v>1.685</v>
      </c>
    </row>
    <row r="6" customHeight="1" spans="1:20">
      <c r="A6" s="11" t="s">
        <v>290</v>
      </c>
      <c r="B6" s="11" t="s">
        <v>229</v>
      </c>
      <c r="C6" s="12">
        <v>20</v>
      </c>
      <c r="D6" s="13">
        <v>44033</v>
      </c>
      <c r="E6" s="14">
        <v>54.56</v>
      </c>
      <c r="F6" s="14">
        <f t="shared" si="0"/>
        <v>1091.2</v>
      </c>
      <c r="J6" s="15">
        <f t="shared" si="1"/>
        <v>1091.2</v>
      </c>
      <c r="N6" s="20" t="str">
        <f>IFERROR(__xludf.DUMMYFUNCTION("""COMPUTED_VALUE"""),"PSSA3")</f>
        <v>PSSA3</v>
      </c>
      <c r="O6" s="20">
        <f>IFERROR(__xludf.DUMMYFUNCTION("""COMPUTED_VALUE"""),20)</f>
        <v>20</v>
      </c>
      <c r="P6" s="15">
        <f>IFERROR(__xludf.DUMMYFUNCTION("""COMPUTED_VALUE"""),1091.2)</f>
        <v>1091.2</v>
      </c>
      <c r="Q6" s="22">
        <f>IFERROR(__xludf.DUMMYFUNCTION("""COMPUTED_VALUE"""),44033)</f>
        <v>44033</v>
      </c>
      <c r="S6" s="11" t="s">
        <v>292</v>
      </c>
      <c r="T6" s="15">
        <f>SUMPRODUCT(($N$2:$N1004=S6)*($P$2:$P1004&gt;0)*$P$2:$P1004)/SUMPRODUCT(($N$2:$N1004=S6)*($O$2:$O1004&gt;0)*$O$2:$O1004)</f>
        <v>31.2859999999999</v>
      </c>
    </row>
    <row r="7" customHeight="1" spans="1:20">
      <c r="A7" s="11" t="s">
        <v>291</v>
      </c>
      <c r="B7" s="11" t="s">
        <v>228</v>
      </c>
      <c r="C7" s="12">
        <v>3000</v>
      </c>
      <c r="D7" s="13">
        <v>44046</v>
      </c>
      <c r="E7" s="14">
        <v>1.65</v>
      </c>
      <c r="F7" s="14">
        <f t="shared" si="0"/>
        <v>4950</v>
      </c>
      <c r="J7" s="15">
        <f t="shared" si="1"/>
        <v>4950</v>
      </c>
      <c r="N7" s="20" t="str">
        <f>IFERROR(__xludf.DUMMYFUNCTION("""COMPUTED_VALUE"""),"OIBR3")</f>
        <v>OIBR3</v>
      </c>
      <c r="O7" s="20">
        <f>IFERROR(__xludf.DUMMYFUNCTION("""COMPUTED_VALUE"""),3000)</f>
        <v>3000</v>
      </c>
      <c r="P7" s="15">
        <f>IFERROR(__xludf.DUMMYFUNCTION("""COMPUTED_VALUE"""),4950)</f>
        <v>4950</v>
      </c>
      <c r="Q7" s="22">
        <f>IFERROR(__xludf.DUMMYFUNCTION("""COMPUTED_VALUE"""),44046)</f>
        <v>44046</v>
      </c>
      <c r="S7" s="11" t="s">
        <v>293</v>
      </c>
      <c r="T7" s="15">
        <f>SUMPRODUCT(($N$2:$N1005=S7)*($P$2:$P1005&gt;0)*$P$2:$P1005)/SUMPRODUCT(($N$2:$N1005=S7)*($O$2:$O1005&gt;0)*$O$2:$O1005)</f>
        <v>17.2095070422535</v>
      </c>
    </row>
    <row r="8" customHeight="1" spans="1:20">
      <c r="A8" s="11" t="s">
        <v>291</v>
      </c>
      <c r="B8" s="11" t="s">
        <v>229</v>
      </c>
      <c r="C8" s="12">
        <v>3000</v>
      </c>
      <c r="D8" s="13">
        <v>44071</v>
      </c>
      <c r="E8" s="14">
        <v>1.72</v>
      </c>
      <c r="F8" s="14">
        <f t="shared" si="0"/>
        <v>5160</v>
      </c>
      <c r="J8" s="15">
        <f t="shared" si="1"/>
        <v>5160</v>
      </c>
      <c r="N8" s="20" t="str">
        <f>IFERROR(__xludf.DUMMYFUNCTION("""COMPUTED_VALUE"""),"OIBR3")</f>
        <v>OIBR3</v>
      </c>
      <c r="O8" s="20">
        <f>IFERROR(__xludf.DUMMYFUNCTION("""COMPUTED_VALUE"""),3000)</f>
        <v>3000</v>
      </c>
      <c r="P8" s="15">
        <f>IFERROR(__xludf.DUMMYFUNCTION("""COMPUTED_VALUE"""),5160)</f>
        <v>5160</v>
      </c>
      <c r="Q8" s="22">
        <f>IFERROR(__xludf.DUMMYFUNCTION("""COMPUTED_VALUE"""),44071)</f>
        <v>44071</v>
      </c>
      <c r="S8" s="11" t="s">
        <v>294</v>
      </c>
      <c r="T8" s="15">
        <f>SUMPRODUCT(($N$2:$N1006=S8)*($P$2:$P1006&gt;0)*$P$2:$P1006)/SUMPRODUCT(($N$2:$N1006=S8)*($O$2:$O1006&gt;0)*$O$2:$O1006)</f>
        <v>24.1388333333333</v>
      </c>
    </row>
    <row r="9" customHeight="1" spans="1:20">
      <c r="A9" s="11" t="s">
        <v>289</v>
      </c>
      <c r="B9" s="11" t="s">
        <v>229</v>
      </c>
      <c r="C9" s="12">
        <v>33</v>
      </c>
      <c r="D9" s="13">
        <v>44102</v>
      </c>
      <c r="E9" s="14">
        <v>20.3</v>
      </c>
      <c r="F9" s="14">
        <f t="shared" si="0"/>
        <v>669.9</v>
      </c>
      <c r="J9" s="15">
        <f t="shared" si="1"/>
        <v>669.9</v>
      </c>
      <c r="N9" s="20" t="str">
        <f>IFERROR(__xludf.DUMMYFUNCTION("""COMPUTED_VALUE"""),"BBDC4")</f>
        <v>BBDC4</v>
      </c>
      <c r="O9" s="20">
        <f>IFERROR(__xludf.DUMMYFUNCTION("""COMPUTED_VALUE"""),33)</f>
        <v>33</v>
      </c>
      <c r="P9" s="15">
        <f>IFERROR(__xludf.DUMMYFUNCTION("""COMPUTED_VALUE"""),669.9)</f>
        <v>669.9</v>
      </c>
      <c r="Q9" s="22">
        <f>IFERROR(__xludf.DUMMYFUNCTION("""COMPUTED_VALUE"""),44102)</f>
        <v>44102</v>
      </c>
      <c r="S9" s="11" t="s">
        <v>295</v>
      </c>
      <c r="T9" s="15">
        <f>SUMPRODUCT(($N$2:$N1007=S9)*($P$2:$P1007&gt;0)*$P$2:$P1007)/SUMPRODUCT(($N$2:$N1007=S9)*($O$2:$O1007&gt;0)*$O$2:$O1007)</f>
        <v>31.79625</v>
      </c>
    </row>
    <row r="10" customHeight="1" spans="1:20">
      <c r="A10" s="11" t="s">
        <v>292</v>
      </c>
      <c r="B10" s="11" t="s">
        <v>228</v>
      </c>
      <c r="C10" s="12">
        <v>10</v>
      </c>
      <c r="D10" s="13">
        <v>43934</v>
      </c>
      <c r="E10" s="14">
        <v>28.88</v>
      </c>
      <c r="F10" s="14">
        <f t="shared" si="0"/>
        <v>288.8</v>
      </c>
      <c r="J10" s="15">
        <f t="shared" si="1"/>
        <v>288.8</v>
      </c>
      <c r="N10" s="20" t="str">
        <f>IFERROR(__xludf.DUMMYFUNCTION("""COMPUTED_VALUE"""),"BBAS3")</f>
        <v>BBAS3</v>
      </c>
      <c r="O10" s="20">
        <f>IFERROR(__xludf.DUMMYFUNCTION("""COMPUTED_VALUE"""),10)</f>
        <v>10</v>
      </c>
      <c r="P10" s="15">
        <f>IFERROR(__xludf.DUMMYFUNCTION("""COMPUTED_VALUE"""),288.8)</f>
        <v>288.8</v>
      </c>
      <c r="Q10" s="22">
        <f>IFERROR(__xludf.DUMMYFUNCTION("""COMPUTED_VALUE"""),43934)</f>
        <v>43934</v>
      </c>
      <c r="S10" s="11" t="s">
        <v>296</v>
      </c>
      <c r="T10" s="15">
        <f>SUMPRODUCT(($N$2:$N1008=S10)*($P$2:$P1008&gt;0)*$P$2:$P1008)/SUMPRODUCT(($N$2:$N1008=S10)*($O$2:$O1008&gt;0)*$O$2:$O1008)</f>
        <v>23.4736585365854</v>
      </c>
    </row>
    <row r="11" customHeight="1" spans="1:20">
      <c r="A11" s="11" t="s">
        <v>293</v>
      </c>
      <c r="B11" s="11" t="s">
        <v>228</v>
      </c>
      <c r="C11" s="12">
        <v>17</v>
      </c>
      <c r="D11" s="13">
        <v>43934</v>
      </c>
      <c r="E11" s="14">
        <v>15.91</v>
      </c>
      <c r="F11" s="14">
        <f t="shared" si="0"/>
        <v>270.47</v>
      </c>
      <c r="J11" s="15">
        <f t="shared" si="1"/>
        <v>270.47</v>
      </c>
      <c r="N11" s="20" t="str">
        <f>IFERROR(__xludf.DUMMYFUNCTION("""COMPUTED_VALUE"""),"ENGE3")</f>
        <v>ENGE3</v>
      </c>
      <c r="O11" s="20">
        <f>IFERROR(__xludf.DUMMYFUNCTION("""COMPUTED_VALUE"""),17)</f>
        <v>17</v>
      </c>
      <c r="P11" s="15">
        <f>IFERROR(__xludf.DUMMYFUNCTION("""COMPUTED_VALUE"""),270.47)</f>
        <v>270.47</v>
      </c>
      <c r="Q11" s="22">
        <f>IFERROR(__xludf.DUMMYFUNCTION("""COMPUTED_VALUE"""),43934)</f>
        <v>43934</v>
      </c>
      <c r="S11" s="11" t="s">
        <v>297</v>
      </c>
      <c r="T11" s="15">
        <f>SUMPRODUCT(($N$2:$N1009=S11)*($P$2:$P1009&gt;0)*$P$2:$P1009)/SUMPRODUCT(($N$2:$N1009=S11)*($O$2:$O1009&gt;0)*$O$2:$O1009)</f>
        <v>52.0417741935484</v>
      </c>
    </row>
    <row r="12" customHeight="1" spans="1:20">
      <c r="A12" s="11" t="s">
        <v>294</v>
      </c>
      <c r="B12" s="11" t="s">
        <v>228</v>
      </c>
      <c r="C12" s="12">
        <v>13</v>
      </c>
      <c r="D12" s="13">
        <v>43934</v>
      </c>
      <c r="E12" s="14">
        <v>21.51</v>
      </c>
      <c r="F12" s="14">
        <f t="shared" si="0"/>
        <v>279.63</v>
      </c>
      <c r="J12" s="15">
        <f t="shared" si="1"/>
        <v>279.63</v>
      </c>
      <c r="N12" s="20" t="str">
        <f>IFERROR(__xludf.DUMMYFUNCTION("""COMPUTED_VALUE"""),"FLRY3")</f>
        <v>FLRY3</v>
      </c>
      <c r="O12" s="20">
        <f>IFERROR(__xludf.DUMMYFUNCTION("""COMPUTED_VALUE"""),13)</f>
        <v>13</v>
      </c>
      <c r="P12" s="15">
        <f>IFERROR(__xludf.DUMMYFUNCTION("""COMPUTED_VALUE"""),279.63)</f>
        <v>279.63</v>
      </c>
      <c r="Q12" s="22">
        <f>IFERROR(__xludf.DUMMYFUNCTION("""COMPUTED_VALUE"""),43934)</f>
        <v>43934</v>
      </c>
      <c r="S12" s="11" t="s">
        <v>298</v>
      </c>
      <c r="T12" s="15">
        <f>SUMPRODUCT(($N$2:$N1010=S12)*($P$2:$P1010&gt;0)*$P$2:$P1010)/SUMPRODUCT(($N$2:$N1010=S12)*($O$2:$O1010&gt;0)*$O$2:$O1010)</f>
        <v>20.4035294117647</v>
      </c>
    </row>
    <row r="13" customHeight="1" spans="1:17">
      <c r="A13" s="11" t="s">
        <v>295</v>
      </c>
      <c r="B13" s="11" t="s">
        <v>228</v>
      </c>
      <c r="C13" s="12">
        <v>9</v>
      </c>
      <c r="D13" s="13">
        <v>43934</v>
      </c>
      <c r="E13" s="14">
        <v>30.94</v>
      </c>
      <c r="F13" s="14">
        <f t="shared" si="0"/>
        <v>278.46</v>
      </c>
      <c r="J13" s="15">
        <f t="shared" si="1"/>
        <v>278.46</v>
      </c>
      <c r="N13" s="20" t="str">
        <f>IFERROR(__xludf.DUMMYFUNCTION("""COMPUTED_VALUE"""),"HYPE3")</f>
        <v>HYPE3</v>
      </c>
      <c r="O13" s="20">
        <f>IFERROR(__xludf.DUMMYFUNCTION("""COMPUTED_VALUE"""),9)</f>
        <v>9</v>
      </c>
      <c r="P13" s="15">
        <f>IFERROR(__xludf.DUMMYFUNCTION("""COMPUTED_VALUE"""),278.46)</f>
        <v>278.46</v>
      </c>
      <c r="Q13" s="22">
        <f>IFERROR(__xludf.DUMMYFUNCTION("""COMPUTED_VALUE"""),43934)</f>
        <v>43934</v>
      </c>
    </row>
    <row r="14" customHeight="1" spans="1:17">
      <c r="A14" s="11" t="s">
        <v>290</v>
      </c>
      <c r="B14" s="11" t="s">
        <v>228</v>
      </c>
      <c r="C14" s="12">
        <v>6</v>
      </c>
      <c r="D14" s="13">
        <v>43934</v>
      </c>
      <c r="E14" s="14">
        <v>47.41</v>
      </c>
      <c r="F14" s="14">
        <f t="shared" si="0"/>
        <v>284.46</v>
      </c>
      <c r="J14" s="15">
        <f t="shared" si="1"/>
        <v>284.46</v>
      </c>
      <c r="N14" s="20" t="str">
        <f>IFERROR(__xludf.DUMMYFUNCTION("""COMPUTED_VALUE"""),"PSSA3")</f>
        <v>PSSA3</v>
      </c>
      <c r="O14" s="20">
        <f>IFERROR(__xludf.DUMMYFUNCTION("""COMPUTED_VALUE"""),6)</f>
        <v>6</v>
      </c>
      <c r="P14" s="15">
        <f>IFERROR(__xludf.DUMMYFUNCTION("""COMPUTED_VALUE"""),284.46)</f>
        <v>284.46</v>
      </c>
      <c r="Q14" s="22">
        <f>IFERROR(__xludf.DUMMYFUNCTION("""COMPUTED_VALUE"""),43934)</f>
        <v>43934</v>
      </c>
    </row>
    <row r="15" customHeight="1" spans="1:17">
      <c r="A15" s="11" t="s">
        <v>296</v>
      </c>
      <c r="B15" s="11" t="s">
        <v>228</v>
      </c>
      <c r="C15" s="12">
        <v>13</v>
      </c>
      <c r="D15" s="13">
        <v>43934</v>
      </c>
      <c r="E15" s="14">
        <v>20.4</v>
      </c>
      <c r="F15" s="14">
        <f t="shared" si="0"/>
        <v>265.2</v>
      </c>
      <c r="J15" s="15">
        <f t="shared" si="1"/>
        <v>265.2</v>
      </c>
      <c r="N15" s="20" t="str">
        <f>IFERROR(__xludf.DUMMYFUNCTION("""COMPUTED_VALUE"""),"SLCA3")</f>
        <v>SLCA3</v>
      </c>
      <c r="O15" s="20">
        <f>IFERROR(__xludf.DUMMYFUNCTION("""COMPUTED_VALUE"""),13)</f>
        <v>13</v>
      </c>
      <c r="P15" s="15">
        <f>IFERROR(__xludf.DUMMYFUNCTION("""COMPUTED_VALUE"""),265.2)</f>
        <v>265.2</v>
      </c>
      <c r="Q15" s="22">
        <f>IFERROR(__xludf.DUMMYFUNCTION("""COMPUTED_VALUE"""),43934)</f>
        <v>43934</v>
      </c>
    </row>
    <row r="16" customHeight="1" spans="1:17">
      <c r="A16" s="11" t="s">
        <v>297</v>
      </c>
      <c r="B16" s="11" t="s">
        <v>228</v>
      </c>
      <c r="C16" s="12">
        <v>6</v>
      </c>
      <c r="D16" s="13">
        <v>43934</v>
      </c>
      <c r="E16" s="14">
        <v>43.91</v>
      </c>
      <c r="F16" s="14">
        <f t="shared" si="0"/>
        <v>263.46</v>
      </c>
      <c r="J16" s="15">
        <f t="shared" si="1"/>
        <v>263.46</v>
      </c>
      <c r="N16" s="20" t="str">
        <f>IFERROR(__xludf.DUMMYFUNCTION("""COMPUTED_VALUE"""),"VALE3")</f>
        <v>VALE3</v>
      </c>
      <c r="O16" s="20">
        <f>IFERROR(__xludf.DUMMYFUNCTION("""COMPUTED_VALUE"""),6)</f>
        <v>6</v>
      </c>
      <c r="P16" s="15">
        <f>IFERROR(__xludf.DUMMYFUNCTION("""COMPUTED_VALUE"""),263.46)</f>
        <v>263.46</v>
      </c>
      <c r="Q16" s="22">
        <f>IFERROR(__xludf.DUMMYFUNCTION("""COMPUTED_VALUE"""),43934)</f>
        <v>43934</v>
      </c>
    </row>
    <row r="17" customHeight="1" spans="1:17">
      <c r="A17" s="11" t="s">
        <v>290</v>
      </c>
      <c r="B17" s="11" t="s">
        <v>228</v>
      </c>
      <c r="C17" s="12">
        <v>5</v>
      </c>
      <c r="D17" s="13">
        <v>43935</v>
      </c>
      <c r="E17" s="14">
        <v>46.57</v>
      </c>
      <c r="F17" s="14">
        <f t="shared" si="0"/>
        <v>232.85</v>
      </c>
      <c r="J17" s="15">
        <f t="shared" si="1"/>
        <v>232.85</v>
      </c>
      <c r="N17" s="20" t="str">
        <f>IFERROR(__xludf.DUMMYFUNCTION("""COMPUTED_VALUE"""),"PSSA3")</f>
        <v>PSSA3</v>
      </c>
      <c r="O17" s="20">
        <f>IFERROR(__xludf.DUMMYFUNCTION("""COMPUTED_VALUE"""),5)</f>
        <v>5</v>
      </c>
      <c r="P17" s="15">
        <f>IFERROR(__xludf.DUMMYFUNCTION("""COMPUTED_VALUE"""),232.85)</f>
        <v>232.85</v>
      </c>
      <c r="Q17" s="22">
        <f>IFERROR(__xludf.DUMMYFUNCTION("""COMPUTED_VALUE"""),43935)</f>
        <v>43935</v>
      </c>
    </row>
    <row r="18" customHeight="1" spans="1:17">
      <c r="A18" s="11" t="s">
        <v>293</v>
      </c>
      <c r="B18" s="11" t="s">
        <v>228</v>
      </c>
      <c r="C18" s="12">
        <v>5</v>
      </c>
      <c r="D18" s="13">
        <v>43936</v>
      </c>
      <c r="E18" s="14">
        <v>17.01</v>
      </c>
      <c r="F18" s="14">
        <f t="shared" si="0"/>
        <v>85.05</v>
      </c>
      <c r="J18" s="15">
        <f t="shared" si="1"/>
        <v>85.05</v>
      </c>
      <c r="N18" s="20" t="str">
        <f>IFERROR(__xludf.DUMMYFUNCTION("""COMPUTED_VALUE"""),"ENGE3")</f>
        <v>ENGE3</v>
      </c>
      <c r="O18" s="20">
        <f>IFERROR(__xludf.DUMMYFUNCTION("""COMPUTED_VALUE"""),5)</f>
        <v>5</v>
      </c>
      <c r="P18" s="15">
        <f>IFERROR(__xludf.DUMMYFUNCTION("""COMPUTED_VALUE"""),85.05)</f>
        <v>85.05</v>
      </c>
      <c r="Q18" s="22">
        <f>IFERROR(__xludf.DUMMYFUNCTION("""COMPUTED_VALUE"""),43936)</f>
        <v>43936</v>
      </c>
    </row>
    <row r="19" customHeight="1" spans="1:17">
      <c r="A19" s="11" t="s">
        <v>297</v>
      </c>
      <c r="B19" s="11" t="s">
        <v>228</v>
      </c>
      <c r="C19" s="12">
        <v>5</v>
      </c>
      <c r="D19" s="13">
        <v>43937</v>
      </c>
      <c r="E19" s="14">
        <v>42.67</v>
      </c>
      <c r="F19" s="14">
        <f t="shared" si="0"/>
        <v>213.35</v>
      </c>
      <c r="J19" s="15">
        <f t="shared" si="1"/>
        <v>213.35</v>
      </c>
      <c r="N19" s="20" t="str">
        <f>IFERROR(__xludf.DUMMYFUNCTION("""COMPUTED_VALUE"""),"VALE3")</f>
        <v>VALE3</v>
      </c>
      <c r="O19" s="20">
        <f>IFERROR(__xludf.DUMMYFUNCTION("""COMPUTED_VALUE"""),5)</f>
        <v>5</v>
      </c>
      <c r="P19" s="15">
        <f>IFERROR(__xludf.DUMMYFUNCTION("""COMPUTED_VALUE"""),213.35)</f>
        <v>213.35</v>
      </c>
      <c r="Q19" s="22">
        <f>IFERROR(__xludf.DUMMYFUNCTION("""COMPUTED_VALUE"""),43937)</f>
        <v>43937</v>
      </c>
    </row>
    <row r="20" customHeight="1" spans="1:17">
      <c r="A20" s="11" t="s">
        <v>292</v>
      </c>
      <c r="B20" s="11" t="s">
        <v>228</v>
      </c>
      <c r="C20" s="12">
        <v>20</v>
      </c>
      <c r="D20" s="13">
        <v>43941</v>
      </c>
      <c r="E20" s="14">
        <v>29.05</v>
      </c>
      <c r="F20" s="14">
        <f t="shared" si="0"/>
        <v>581</v>
      </c>
      <c r="J20" s="15">
        <f t="shared" si="1"/>
        <v>581</v>
      </c>
      <c r="N20" s="20" t="str">
        <f>IFERROR(__xludf.DUMMYFUNCTION("""COMPUTED_VALUE"""),"BBAS3")</f>
        <v>BBAS3</v>
      </c>
      <c r="O20" s="20">
        <f>IFERROR(__xludf.DUMMYFUNCTION("""COMPUTED_VALUE"""),20)</f>
        <v>20</v>
      </c>
      <c r="P20" s="15">
        <f>IFERROR(__xludf.DUMMYFUNCTION("""COMPUTED_VALUE"""),581)</f>
        <v>581</v>
      </c>
      <c r="Q20" s="22">
        <f>IFERROR(__xludf.DUMMYFUNCTION("""COMPUTED_VALUE"""),43941)</f>
        <v>43941</v>
      </c>
    </row>
    <row r="21" customHeight="1" spans="1:17">
      <c r="A21" s="11" t="s">
        <v>295</v>
      </c>
      <c r="B21" s="11" t="s">
        <v>228</v>
      </c>
      <c r="C21" s="12">
        <v>10</v>
      </c>
      <c r="D21" s="13">
        <v>43941</v>
      </c>
      <c r="E21" s="14">
        <v>31.74</v>
      </c>
      <c r="F21" s="14">
        <f t="shared" si="0"/>
        <v>317.4</v>
      </c>
      <c r="J21" s="15">
        <f t="shared" si="1"/>
        <v>317.4</v>
      </c>
      <c r="N21" s="20" t="str">
        <f>IFERROR(__xludf.DUMMYFUNCTION("""COMPUTED_VALUE"""),"HYPE3")</f>
        <v>HYPE3</v>
      </c>
      <c r="O21" s="20">
        <f>IFERROR(__xludf.DUMMYFUNCTION("""COMPUTED_VALUE"""),10)</f>
        <v>10</v>
      </c>
      <c r="P21" s="15">
        <f>IFERROR(__xludf.DUMMYFUNCTION("""COMPUTED_VALUE"""),317.4)</f>
        <v>317.4</v>
      </c>
      <c r="Q21" s="22">
        <f>IFERROR(__xludf.DUMMYFUNCTION("""COMPUTED_VALUE"""),43941)</f>
        <v>43941</v>
      </c>
    </row>
    <row r="22" customHeight="1" spans="1:17">
      <c r="A22" s="11" t="s">
        <v>290</v>
      </c>
      <c r="B22" s="11" t="s">
        <v>228</v>
      </c>
      <c r="C22" s="12">
        <v>10</v>
      </c>
      <c r="D22" s="13">
        <v>43941</v>
      </c>
      <c r="E22" s="14">
        <v>46.89</v>
      </c>
      <c r="F22" s="14">
        <f t="shared" si="0"/>
        <v>468.9</v>
      </c>
      <c r="J22" s="15">
        <f t="shared" si="1"/>
        <v>468.9</v>
      </c>
      <c r="N22" s="20" t="str">
        <f>IFERROR(__xludf.DUMMYFUNCTION("""COMPUTED_VALUE"""),"PSSA3")</f>
        <v>PSSA3</v>
      </c>
      <c r="O22" s="20">
        <f>IFERROR(__xludf.DUMMYFUNCTION("""COMPUTED_VALUE"""),10)</f>
        <v>10</v>
      </c>
      <c r="P22" s="15">
        <f>IFERROR(__xludf.DUMMYFUNCTION("""COMPUTED_VALUE"""),468.9)</f>
        <v>468.9</v>
      </c>
      <c r="Q22" s="22">
        <f>IFERROR(__xludf.DUMMYFUNCTION("""COMPUTED_VALUE"""),43941)</f>
        <v>43941</v>
      </c>
    </row>
    <row r="23" customHeight="1" spans="1:17">
      <c r="A23" s="11" t="s">
        <v>296</v>
      </c>
      <c r="B23" s="11" t="s">
        <v>228</v>
      </c>
      <c r="C23" s="12">
        <v>10</v>
      </c>
      <c r="D23" s="13">
        <v>43941</v>
      </c>
      <c r="E23" s="14">
        <v>23.27</v>
      </c>
      <c r="F23" s="14">
        <f t="shared" si="0"/>
        <v>232.7</v>
      </c>
      <c r="J23" s="15">
        <f t="shared" si="1"/>
        <v>232.7</v>
      </c>
      <c r="N23" s="20" t="str">
        <f>IFERROR(__xludf.DUMMYFUNCTION("""COMPUTED_VALUE"""),"SLCA3")</f>
        <v>SLCA3</v>
      </c>
      <c r="O23" s="20">
        <f>IFERROR(__xludf.DUMMYFUNCTION("""COMPUTED_VALUE"""),10)</f>
        <v>10</v>
      </c>
      <c r="P23" s="15">
        <f>IFERROR(__xludf.DUMMYFUNCTION("""COMPUTED_VALUE"""),232.7)</f>
        <v>232.7</v>
      </c>
      <c r="Q23" s="22">
        <f>IFERROR(__xludf.DUMMYFUNCTION("""COMPUTED_VALUE"""),43941)</f>
        <v>43941</v>
      </c>
    </row>
    <row r="24" customHeight="1" spans="1:17">
      <c r="A24" s="11" t="s">
        <v>297</v>
      </c>
      <c r="B24" s="11" t="s">
        <v>228</v>
      </c>
      <c r="C24" s="12">
        <v>15</v>
      </c>
      <c r="D24" s="13">
        <v>43941</v>
      </c>
      <c r="E24" s="14">
        <v>42.95</v>
      </c>
      <c r="F24" s="14">
        <f t="shared" si="0"/>
        <v>644.25</v>
      </c>
      <c r="J24" s="15">
        <f t="shared" si="1"/>
        <v>644.25</v>
      </c>
      <c r="N24" s="20" t="str">
        <f>IFERROR(__xludf.DUMMYFUNCTION("""COMPUTED_VALUE"""),"VALE3")</f>
        <v>VALE3</v>
      </c>
      <c r="O24" s="20">
        <f>IFERROR(__xludf.DUMMYFUNCTION("""COMPUTED_VALUE"""),15)</f>
        <v>15</v>
      </c>
      <c r="P24" s="15">
        <f>IFERROR(__xludf.DUMMYFUNCTION("""COMPUTED_VALUE"""),644.25)</f>
        <v>644.25</v>
      </c>
      <c r="Q24" s="22">
        <f>IFERROR(__xludf.DUMMYFUNCTION("""COMPUTED_VALUE"""),43941)</f>
        <v>43941</v>
      </c>
    </row>
    <row r="25" customHeight="1" spans="1:17">
      <c r="A25" s="11" t="s">
        <v>298</v>
      </c>
      <c r="B25" s="11" t="s">
        <v>228</v>
      </c>
      <c r="C25" s="12">
        <v>20</v>
      </c>
      <c r="D25" s="13">
        <v>43944</v>
      </c>
      <c r="E25" s="14">
        <v>20.75</v>
      </c>
      <c r="F25" s="14">
        <f t="shared" si="0"/>
        <v>415</v>
      </c>
      <c r="J25" s="15">
        <f t="shared" si="1"/>
        <v>415</v>
      </c>
      <c r="N25" s="20" t="str">
        <f>IFERROR(__xludf.DUMMYFUNCTION("""COMPUTED_VALUE"""),"CRFB3")</f>
        <v>CRFB3</v>
      </c>
      <c r="O25" s="20">
        <f>IFERROR(__xludf.DUMMYFUNCTION("""COMPUTED_VALUE"""),20)</f>
        <v>20</v>
      </c>
      <c r="P25" s="15">
        <f>IFERROR(__xludf.DUMMYFUNCTION("""COMPUTED_VALUE"""),415)</f>
        <v>415</v>
      </c>
      <c r="Q25" s="22">
        <f>IFERROR(__xludf.DUMMYFUNCTION("""COMPUTED_VALUE"""),43944)</f>
        <v>43944</v>
      </c>
    </row>
    <row r="26" customHeight="1" spans="1:17">
      <c r="A26" s="11" t="s">
        <v>293</v>
      </c>
      <c r="B26" s="11" t="s">
        <v>228</v>
      </c>
      <c r="C26" s="12">
        <v>5</v>
      </c>
      <c r="D26" s="13">
        <v>43944</v>
      </c>
      <c r="E26" s="14">
        <v>17</v>
      </c>
      <c r="F26" s="14">
        <f t="shared" si="0"/>
        <v>85</v>
      </c>
      <c r="J26" s="15">
        <f t="shared" si="1"/>
        <v>85</v>
      </c>
      <c r="N26" s="20" t="str">
        <f>IFERROR(__xludf.DUMMYFUNCTION("""COMPUTED_VALUE"""),"ENGE3")</f>
        <v>ENGE3</v>
      </c>
      <c r="O26" s="20">
        <f>IFERROR(__xludf.DUMMYFUNCTION("""COMPUTED_VALUE"""),5)</f>
        <v>5</v>
      </c>
      <c r="P26" s="15">
        <f>IFERROR(__xludf.DUMMYFUNCTION("""COMPUTED_VALUE"""),85)</f>
        <v>85</v>
      </c>
      <c r="Q26" s="22">
        <f>IFERROR(__xludf.DUMMYFUNCTION("""COMPUTED_VALUE"""),43944)</f>
        <v>43944</v>
      </c>
    </row>
    <row r="27" customHeight="1" spans="1:17">
      <c r="A27" s="11" t="s">
        <v>294</v>
      </c>
      <c r="B27" s="11" t="s">
        <v>228</v>
      </c>
      <c r="C27" s="12">
        <v>10</v>
      </c>
      <c r="D27" s="13">
        <v>43944</v>
      </c>
      <c r="E27" s="14">
        <v>24.22</v>
      </c>
      <c r="F27" s="14">
        <f t="shared" si="0"/>
        <v>242.2</v>
      </c>
      <c r="J27" s="15">
        <f t="shared" si="1"/>
        <v>242.2</v>
      </c>
      <c r="N27" s="20" t="str">
        <f>IFERROR(__xludf.DUMMYFUNCTION("""COMPUTED_VALUE"""),"FLRY3")</f>
        <v>FLRY3</v>
      </c>
      <c r="O27" s="20">
        <f>IFERROR(__xludf.DUMMYFUNCTION("""COMPUTED_VALUE"""),10)</f>
        <v>10</v>
      </c>
      <c r="P27" s="15">
        <f>IFERROR(__xludf.DUMMYFUNCTION("""COMPUTED_VALUE"""),242.2)</f>
        <v>242.2</v>
      </c>
      <c r="Q27" s="22">
        <f>IFERROR(__xludf.DUMMYFUNCTION("""COMPUTED_VALUE"""),43944)</f>
        <v>43944</v>
      </c>
    </row>
    <row r="28" customHeight="1" spans="1:17">
      <c r="A28" s="11" t="s">
        <v>292</v>
      </c>
      <c r="B28" s="11" t="s">
        <v>228</v>
      </c>
      <c r="C28" s="12">
        <v>20</v>
      </c>
      <c r="D28" s="13">
        <v>43945</v>
      </c>
      <c r="E28" s="14">
        <v>24.69</v>
      </c>
      <c r="F28" s="14">
        <f t="shared" si="0"/>
        <v>493.8</v>
      </c>
      <c r="J28" s="15">
        <f t="shared" si="1"/>
        <v>493.8</v>
      </c>
      <c r="N28" s="20" t="str">
        <f>IFERROR(__xludf.DUMMYFUNCTION("""COMPUTED_VALUE"""),"BBAS3")</f>
        <v>BBAS3</v>
      </c>
      <c r="O28" s="20">
        <f>IFERROR(__xludf.DUMMYFUNCTION("""COMPUTED_VALUE"""),20)</f>
        <v>20</v>
      </c>
      <c r="P28" s="15">
        <f>IFERROR(__xludf.DUMMYFUNCTION("""COMPUTED_VALUE"""),493.8)</f>
        <v>493.8</v>
      </c>
      <c r="Q28" s="22">
        <f>IFERROR(__xludf.DUMMYFUNCTION("""COMPUTED_VALUE"""),43945)</f>
        <v>43945</v>
      </c>
    </row>
    <row r="29" customHeight="1" spans="1:17">
      <c r="A29" s="11" t="s">
        <v>298</v>
      </c>
      <c r="B29" s="11" t="s">
        <v>228</v>
      </c>
      <c r="C29" s="12">
        <v>25</v>
      </c>
      <c r="D29" s="13">
        <v>43945</v>
      </c>
      <c r="E29" s="14">
        <v>20</v>
      </c>
      <c r="F29" s="14">
        <f t="shared" si="0"/>
        <v>500</v>
      </c>
      <c r="J29" s="15">
        <f t="shared" si="1"/>
        <v>500</v>
      </c>
      <c r="N29" s="20" t="str">
        <f>IFERROR(__xludf.DUMMYFUNCTION("""COMPUTED_VALUE"""),"CRFB3")</f>
        <v>CRFB3</v>
      </c>
      <c r="O29" s="20">
        <f>IFERROR(__xludf.DUMMYFUNCTION("""COMPUTED_VALUE"""),25)</f>
        <v>25</v>
      </c>
      <c r="P29" s="15">
        <f>IFERROR(__xludf.DUMMYFUNCTION("""COMPUTED_VALUE"""),500)</f>
        <v>500</v>
      </c>
      <c r="Q29" s="22">
        <f>IFERROR(__xludf.DUMMYFUNCTION("""COMPUTED_VALUE"""),43945)</f>
        <v>43945</v>
      </c>
    </row>
    <row r="30" customHeight="1" spans="1:17">
      <c r="A30" s="11" t="s">
        <v>293</v>
      </c>
      <c r="B30" s="11" t="s">
        <v>228</v>
      </c>
      <c r="C30" s="12">
        <v>32</v>
      </c>
      <c r="D30" s="13">
        <v>43945</v>
      </c>
      <c r="E30" s="14">
        <v>15.79</v>
      </c>
      <c r="F30" s="14">
        <f t="shared" si="0"/>
        <v>505.28</v>
      </c>
      <c r="J30" s="15">
        <f t="shared" si="1"/>
        <v>505.28</v>
      </c>
      <c r="N30" s="20" t="str">
        <f>IFERROR(__xludf.DUMMYFUNCTION("""COMPUTED_VALUE"""),"ENGE3")</f>
        <v>ENGE3</v>
      </c>
      <c r="O30" s="20">
        <f>IFERROR(__xludf.DUMMYFUNCTION("""COMPUTED_VALUE"""),32)</f>
        <v>32</v>
      </c>
      <c r="P30" s="15">
        <f>IFERROR(__xludf.DUMMYFUNCTION("""COMPUTED_VALUE"""),505.28)</f>
        <v>505.28</v>
      </c>
      <c r="Q30" s="22">
        <f>IFERROR(__xludf.DUMMYFUNCTION("""COMPUTED_VALUE"""),43945)</f>
        <v>43945</v>
      </c>
    </row>
    <row r="31" customHeight="1" spans="1:17">
      <c r="A31" s="11" t="s">
        <v>294</v>
      </c>
      <c r="B31" s="11" t="s">
        <v>228</v>
      </c>
      <c r="C31" s="12">
        <v>22</v>
      </c>
      <c r="D31" s="13">
        <v>43945</v>
      </c>
      <c r="E31" s="14">
        <v>22.44</v>
      </c>
      <c r="F31" s="14">
        <f t="shared" si="0"/>
        <v>493.68</v>
      </c>
      <c r="J31" s="15">
        <f t="shared" si="1"/>
        <v>493.68</v>
      </c>
      <c r="N31" s="20" t="str">
        <f>IFERROR(__xludf.DUMMYFUNCTION("""COMPUTED_VALUE"""),"FLRY3")</f>
        <v>FLRY3</v>
      </c>
      <c r="O31" s="20">
        <f>IFERROR(__xludf.DUMMYFUNCTION("""COMPUTED_VALUE"""),22)</f>
        <v>22</v>
      </c>
      <c r="P31" s="15">
        <f>IFERROR(__xludf.DUMMYFUNCTION("""COMPUTED_VALUE"""),493.68)</f>
        <v>493.68</v>
      </c>
      <c r="Q31" s="22">
        <f>IFERROR(__xludf.DUMMYFUNCTION("""COMPUTED_VALUE"""),43945)</f>
        <v>43945</v>
      </c>
    </row>
    <row r="32" customHeight="1" spans="1:17">
      <c r="A32" s="11" t="s">
        <v>295</v>
      </c>
      <c r="B32" s="11" t="s">
        <v>228</v>
      </c>
      <c r="C32" s="12">
        <v>17</v>
      </c>
      <c r="D32" s="13">
        <v>43945</v>
      </c>
      <c r="E32" s="14">
        <v>29.13</v>
      </c>
      <c r="F32" s="14">
        <f t="shared" si="0"/>
        <v>495.21</v>
      </c>
      <c r="J32" s="15">
        <f t="shared" si="1"/>
        <v>495.21</v>
      </c>
      <c r="N32" s="20" t="str">
        <f>IFERROR(__xludf.DUMMYFUNCTION("""COMPUTED_VALUE"""),"HYPE3")</f>
        <v>HYPE3</v>
      </c>
      <c r="O32" s="20">
        <f>IFERROR(__xludf.DUMMYFUNCTION("""COMPUTED_VALUE"""),17)</f>
        <v>17</v>
      </c>
      <c r="P32" s="15">
        <f>IFERROR(__xludf.DUMMYFUNCTION("""COMPUTED_VALUE"""),495.21)</f>
        <v>495.21</v>
      </c>
      <c r="Q32" s="22">
        <f>IFERROR(__xludf.DUMMYFUNCTION("""COMPUTED_VALUE"""),43945)</f>
        <v>43945</v>
      </c>
    </row>
    <row r="33" customHeight="1" spans="1:17">
      <c r="A33" s="11" t="s">
        <v>290</v>
      </c>
      <c r="B33" s="11" t="s">
        <v>228</v>
      </c>
      <c r="C33" s="12">
        <v>10</v>
      </c>
      <c r="D33" s="13">
        <v>43945</v>
      </c>
      <c r="E33" s="14">
        <v>43.74</v>
      </c>
      <c r="F33" s="14">
        <f t="shared" si="0"/>
        <v>437.4</v>
      </c>
      <c r="J33" s="15">
        <f t="shared" si="1"/>
        <v>437.4</v>
      </c>
      <c r="N33" s="20" t="str">
        <f>IFERROR(__xludf.DUMMYFUNCTION("""COMPUTED_VALUE"""),"PSSA3")</f>
        <v>PSSA3</v>
      </c>
      <c r="O33" s="20">
        <f>IFERROR(__xludf.DUMMYFUNCTION("""COMPUTED_VALUE"""),10)</f>
        <v>10</v>
      </c>
      <c r="P33" s="15">
        <f>IFERROR(__xludf.DUMMYFUNCTION("""COMPUTED_VALUE"""),437.4)</f>
        <v>437.4</v>
      </c>
      <c r="Q33" s="22">
        <f>IFERROR(__xludf.DUMMYFUNCTION("""COMPUTED_VALUE"""),43945)</f>
        <v>43945</v>
      </c>
    </row>
    <row r="34" customHeight="1" spans="1:17">
      <c r="A34" s="11" t="s">
        <v>298</v>
      </c>
      <c r="B34" s="11" t="s">
        <v>228</v>
      </c>
      <c r="C34" s="12">
        <v>6</v>
      </c>
      <c r="D34" s="13">
        <v>43951</v>
      </c>
      <c r="E34" s="14">
        <v>20.11</v>
      </c>
      <c r="F34" s="14">
        <f t="shared" si="0"/>
        <v>120.66</v>
      </c>
      <c r="J34" s="15">
        <f t="shared" si="1"/>
        <v>120.66</v>
      </c>
      <c r="N34" s="20" t="str">
        <f>IFERROR(__xludf.DUMMYFUNCTION("""COMPUTED_VALUE"""),"CRFB3")</f>
        <v>CRFB3</v>
      </c>
      <c r="O34" s="20">
        <f>IFERROR(__xludf.DUMMYFUNCTION("""COMPUTED_VALUE"""),6)</f>
        <v>6</v>
      </c>
      <c r="P34" s="15">
        <f>IFERROR(__xludf.DUMMYFUNCTION("""COMPUTED_VALUE"""),120.66)</f>
        <v>120.66</v>
      </c>
      <c r="Q34" s="22">
        <f>IFERROR(__xludf.DUMMYFUNCTION("""COMPUTED_VALUE"""),43951)</f>
        <v>43951</v>
      </c>
    </row>
    <row r="35" customHeight="1" spans="1:17">
      <c r="A35" s="11" t="s">
        <v>294</v>
      </c>
      <c r="B35" s="11" t="s">
        <v>228</v>
      </c>
      <c r="C35" s="12">
        <v>5</v>
      </c>
      <c r="D35" s="13">
        <v>43951</v>
      </c>
      <c r="E35" s="14">
        <v>22.69</v>
      </c>
      <c r="F35" s="14">
        <f t="shared" si="0"/>
        <v>113.45</v>
      </c>
      <c r="J35" s="15">
        <f t="shared" si="1"/>
        <v>113.45</v>
      </c>
      <c r="N35" s="20" t="str">
        <f>IFERROR(__xludf.DUMMYFUNCTION("""COMPUTED_VALUE"""),"FLRY3")</f>
        <v>FLRY3</v>
      </c>
      <c r="O35" s="20">
        <f>IFERROR(__xludf.DUMMYFUNCTION("""COMPUTED_VALUE"""),5)</f>
        <v>5</v>
      </c>
      <c r="P35" s="15">
        <f>IFERROR(__xludf.DUMMYFUNCTION("""COMPUTED_VALUE"""),113.45)</f>
        <v>113.45</v>
      </c>
      <c r="Q35" s="22">
        <f>IFERROR(__xludf.DUMMYFUNCTION("""COMPUTED_VALUE"""),43951)</f>
        <v>43951</v>
      </c>
    </row>
    <row r="36" customHeight="1" spans="1:17">
      <c r="A36" s="11" t="s">
        <v>296</v>
      </c>
      <c r="B36" s="11" t="s">
        <v>228</v>
      </c>
      <c r="C36" s="12">
        <v>10</v>
      </c>
      <c r="D36" s="13">
        <v>43951</v>
      </c>
      <c r="E36" s="14">
        <v>24.59</v>
      </c>
      <c r="F36" s="14">
        <f t="shared" si="0"/>
        <v>245.9</v>
      </c>
      <c r="J36" s="15">
        <f t="shared" si="1"/>
        <v>245.9</v>
      </c>
      <c r="N36" s="20" t="str">
        <f>IFERROR(__xludf.DUMMYFUNCTION("""COMPUTED_VALUE"""),"SLCA3")</f>
        <v>SLCA3</v>
      </c>
      <c r="O36" s="20">
        <f>IFERROR(__xludf.DUMMYFUNCTION("""COMPUTED_VALUE"""),10)</f>
        <v>10</v>
      </c>
      <c r="P36" s="15">
        <f>IFERROR(__xludf.DUMMYFUNCTION("""COMPUTED_VALUE"""),245.9)</f>
        <v>245.9</v>
      </c>
      <c r="Q36" s="22">
        <f>IFERROR(__xludf.DUMMYFUNCTION("""COMPUTED_VALUE"""),43951)</f>
        <v>43951</v>
      </c>
    </row>
    <row r="37" customHeight="1" spans="1:17">
      <c r="A37" s="11" t="s">
        <v>293</v>
      </c>
      <c r="B37" s="11" t="s">
        <v>228</v>
      </c>
      <c r="C37" s="12">
        <v>12</v>
      </c>
      <c r="D37" s="13">
        <v>43955</v>
      </c>
      <c r="E37" s="14">
        <v>16.85</v>
      </c>
      <c r="F37" s="14">
        <f t="shared" si="0"/>
        <v>202.2</v>
      </c>
      <c r="J37" s="15">
        <f t="shared" si="1"/>
        <v>202.2</v>
      </c>
      <c r="N37" s="20" t="str">
        <f>IFERROR(__xludf.DUMMYFUNCTION("""COMPUTED_VALUE"""),"ENGE3")</f>
        <v>ENGE3</v>
      </c>
      <c r="O37" s="20">
        <f>IFERROR(__xludf.DUMMYFUNCTION("""COMPUTED_VALUE"""),12)</f>
        <v>12</v>
      </c>
      <c r="P37" s="15">
        <f>IFERROR(__xludf.DUMMYFUNCTION("""COMPUTED_VALUE"""),202.2)</f>
        <v>202.2</v>
      </c>
      <c r="Q37" s="22">
        <f>IFERROR(__xludf.DUMMYFUNCTION("""COMPUTED_VALUE"""),43955)</f>
        <v>43955</v>
      </c>
    </row>
    <row r="38" customHeight="1" spans="1:17">
      <c r="A38" s="11" t="s">
        <v>294</v>
      </c>
      <c r="B38" s="11" t="s">
        <v>228</v>
      </c>
      <c r="C38" s="12">
        <v>10</v>
      </c>
      <c r="D38" s="13">
        <v>43955</v>
      </c>
      <c r="E38" s="14">
        <v>21.55</v>
      </c>
      <c r="F38" s="14">
        <f t="shared" si="0"/>
        <v>215.5</v>
      </c>
      <c r="J38" s="15">
        <f t="shared" si="1"/>
        <v>215.5</v>
      </c>
      <c r="N38" s="20" t="str">
        <f>IFERROR(__xludf.DUMMYFUNCTION("""COMPUTED_VALUE"""),"FLRY3")</f>
        <v>FLRY3</v>
      </c>
      <c r="O38" s="20">
        <f>IFERROR(__xludf.DUMMYFUNCTION("""COMPUTED_VALUE"""),10)</f>
        <v>10</v>
      </c>
      <c r="P38" s="15">
        <f>IFERROR(__xludf.DUMMYFUNCTION("""COMPUTED_VALUE"""),215.5)</f>
        <v>215.5</v>
      </c>
      <c r="Q38" s="22">
        <f>IFERROR(__xludf.DUMMYFUNCTION("""COMPUTED_VALUE"""),43955)</f>
        <v>43955</v>
      </c>
    </row>
    <row r="39" customHeight="1" spans="1:17">
      <c r="A39" s="11" t="s">
        <v>295</v>
      </c>
      <c r="B39" s="11" t="s">
        <v>228</v>
      </c>
      <c r="C39" s="12">
        <v>8</v>
      </c>
      <c r="D39" s="13">
        <v>43955</v>
      </c>
      <c r="E39" s="14">
        <v>28.3</v>
      </c>
      <c r="F39" s="14">
        <f t="shared" si="0"/>
        <v>226.4</v>
      </c>
      <c r="J39" s="15">
        <f t="shared" si="1"/>
        <v>226.4</v>
      </c>
      <c r="N39" s="20" t="str">
        <f>IFERROR(__xludf.DUMMYFUNCTION("""COMPUTED_VALUE"""),"HYPE3")</f>
        <v>HYPE3</v>
      </c>
      <c r="O39" s="20">
        <f>IFERROR(__xludf.DUMMYFUNCTION("""COMPUTED_VALUE"""),8)</f>
        <v>8</v>
      </c>
      <c r="P39" s="15">
        <f>IFERROR(__xludf.DUMMYFUNCTION("""COMPUTED_VALUE"""),226.4)</f>
        <v>226.4</v>
      </c>
      <c r="Q39" s="22">
        <f>IFERROR(__xludf.DUMMYFUNCTION("""COMPUTED_VALUE"""),43955)</f>
        <v>43955</v>
      </c>
    </row>
    <row r="40" customHeight="1" spans="1:17">
      <c r="A40" s="11" t="s">
        <v>290</v>
      </c>
      <c r="B40" s="11" t="s">
        <v>228</v>
      </c>
      <c r="C40" s="12">
        <v>5</v>
      </c>
      <c r="D40" s="13">
        <v>43955</v>
      </c>
      <c r="E40" s="14">
        <v>43.03</v>
      </c>
      <c r="F40" s="14">
        <f t="shared" si="0"/>
        <v>215.15</v>
      </c>
      <c r="J40" s="15">
        <f t="shared" si="1"/>
        <v>215.15</v>
      </c>
      <c r="N40" s="20" t="str">
        <f>IFERROR(__xludf.DUMMYFUNCTION("""COMPUTED_VALUE"""),"PSSA3")</f>
        <v>PSSA3</v>
      </c>
      <c r="O40" s="20">
        <f>IFERROR(__xludf.DUMMYFUNCTION("""COMPUTED_VALUE"""),5)</f>
        <v>5</v>
      </c>
      <c r="P40" s="15">
        <f>IFERROR(__xludf.DUMMYFUNCTION("""COMPUTED_VALUE"""),215.15)</f>
        <v>215.15</v>
      </c>
      <c r="Q40" s="22">
        <f>IFERROR(__xludf.DUMMYFUNCTION("""COMPUTED_VALUE"""),43955)</f>
        <v>43955</v>
      </c>
    </row>
    <row r="41" customHeight="1" spans="1:17">
      <c r="A41" s="11" t="s">
        <v>296</v>
      </c>
      <c r="B41" s="11" t="s">
        <v>228</v>
      </c>
      <c r="C41" s="12">
        <v>8</v>
      </c>
      <c r="D41" s="13">
        <v>43955</v>
      </c>
      <c r="E41" s="14">
        <v>24.63</v>
      </c>
      <c r="F41" s="14">
        <f t="shared" si="0"/>
        <v>197.04</v>
      </c>
      <c r="J41" s="15">
        <f t="shared" si="1"/>
        <v>197.04</v>
      </c>
      <c r="N41" s="20" t="str">
        <f>IFERROR(__xludf.DUMMYFUNCTION("""COMPUTED_VALUE"""),"SLCA3")</f>
        <v>SLCA3</v>
      </c>
      <c r="O41" s="20">
        <f>IFERROR(__xludf.DUMMYFUNCTION("""COMPUTED_VALUE"""),8)</f>
        <v>8</v>
      </c>
      <c r="P41" s="15">
        <f>IFERROR(__xludf.DUMMYFUNCTION("""COMPUTED_VALUE"""),197.04)</f>
        <v>197.04</v>
      </c>
      <c r="Q41" s="22">
        <f>IFERROR(__xludf.DUMMYFUNCTION("""COMPUTED_VALUE"""),43955)</f>
        <v>43955</v>
      </c>
    </row>
    <row r="42" customHeight="1" spans="1:17">
      <c r="A42" s="11" t="s">
        <v>297</v>
      </c>
      <c r="B42" s="11" t="s">
        <v>228</v>
      </c>
      <c r="C42" s="12">
        <v>5</v>
      </c>
      <c r="D42" s="13">
        <v>43955</v>
      </c>
      <c r="E42" s="14">
        <v>43.65</v>
      </c>
      <c r="F42" s="14">
        <f t="shared" si="0"/>
        <v>218.25</v>
      </c>
      <c r="J42" s="15">
        <f t="shared" si="1"/>
        <v>218.25</v>
      </c>
      <c r="N42" s="20" t="str">
        <f>IFERROR(__xludf.DUMMYFUNCTION("""COMPUTED_VALUE"""),"VALE3")</f>
        <v>VALE3</v>
      </c>
      <c r="O42" s="20">
        <f>IFERROR(__xludf.DUMMYFUNCTION("""COMPUTED_VALUE"""),5)</f>
        <v>5</v>
      </c>
      <c r="P42" s="15">
        <f>IFERROR(__xludf.DUMMYFUNCTION("""COMPUTED_VALUE"""),218.25)</f>
        <v>218.25</v>
      </c>
      <c r="Q42" s="22">
        <f>IFERROR(__xludf.DUMMYFUNCTION("""COMPUTED_VALUE"""),43955)</f>
        <v>43955</v>
      </c>
    </row>
    <row r="43" customHeight="1" spans="1:17">
      <c r="A43" s="11" t="s">
        <v>290</v>
      </c>
      <c r="B43" s="11" t="s">
        <v>228</v>
      </c>
      <c r="C43" s="12">
        <v>10</v>
      </c>
      <c r="D43" s="13">
        <v>43956</v>
      </c>
      <c r="E43" s="14">
        <v>42.6</v>
      </c>
      <c r="F43" s="14">
        <f t="shared" si="0"/>
        <v>426</v>
      </c>
      <c r="J43" s="15">
        <f t="shared" si="1"/>
        <v>426</v>
      </c>
      <c r="N43" s="20" t="str">
        <f>IFERROR(__xludf.DUMMYFUNCTION("""COMPUTED_VALUE"""),"PSSA3")</f>
        <v>PSSA3</v>
      </c>
      <c r="O43" s="20">
        <f>IFERROR(__xludf.DUMMYFUNCTION("""COMPUTED_VALUE"""),10)</f>
        <v>10</v>
      </c>
      <c r="P43" s="15">
        <f>IFERROR(__xludf.DUMMYFUNCTION("""COMPUTED_VALUE"""),426)</f>
        <v>426</v>
      </c>
      <c r="Q43" s="22">
        <f>IFERROR(__xludf.DUMMYFUNCTION("""COMPUTED_VALUE"""),43956)</f>
        <v>43956</v>
      </c>
    </row>
    <row r="44" customHeight="1" spans="1:17">
      <c r="A44" s="11" t="s">
        <v>292</v>
      </c>
      <c r="B44" s="11" t="s">
        <v>229</v>
      </c>
      <c r="C44" s="12">
        <v>50</v>
      </c>
      <c r="D44" s="13">
        <v>44029</v>
      </c>
      <c r="E44" s="14">
        <v>35.3</v>
      </c>
      <c r="F44" s="14">
        <f t="shared" si="0"/>
        <v>1765</v>
      </c>
      <c r="J44" s="15">
        <f t="shared" si="1"/>
        <v>1765</v>
      </c>
      <c r="N44" s="20" t="str">
        <f>IFERROR(__xludf.DUMMYFUNCTION("""COMPUTED_VALUE"""),"BBAS3")</f>
        <v>BBAS3</v>
      </c>
      <c r="O44" s="20">
        <f>IFERROR(__xludf.DUMMYFUNCTION("""COMPUTED_VALUE"""),50)</f>
        <v>50</v>
      </c>
      <c r="P44" s="15">
        <f>IFERROR(__xludf.DUMMYFUNCTION("""COMPUTED_VALUE"""),1764.99999999999)</f>
        <v>1764.99999999999</v>
      </c>
      <c r="Q44" s="22">
        <f>IFERROR(__xludf.DUMMYFUNCTION("""COMPUTED_VALUE"""),44029)</f>
        <v>44029</v>
      </c>
    </row>
    <row r="45" customHeight="1" spans="1:17">
      <c r="A45" s="11" t="s">
        <v>294</v>
      </c>
      <c r="B45" s="11" t="s">
        <v>229</v>
      </c>
      <c r="C45" s="12">
        <v>60</v>
      </c>
      <c r="D45" s="13">
        <v>44029</v>
      </c>
      <c r="E45" s="14">
        <v>25.87</v>
      </c>
      <c r="F45" s="14">
        <f t="shared" si="0"/>
        <v>1552.2</v>
      </c>
      <c r="J45" s="15">
        <f t="shared" si="1"/>
        <v>1552.2</v>
      </c>
      <c r="N45" s="20" t="str">
        <f>IFERROR(__xludf.DUMMYFUNCTION("""COMPUTED_VALUE"""),"FLRY3")</f>
        <v>FLRY3</v>
      </c>
      <c r="O45" s="20">
        <f>IFERROR(__xludf.DUMMYFUNCTION("""COMPUTED_VALUE"""),60)</f>
        <v>60</v>
      </c>
      <c r="P45" s="15">
        <f>IFERROR(__xludf.DUMMYFUNCTION("""COMPUTED_VALUE"""),1552.2)</f>
        <v>1552.2</v>
      </c>
      <c r="Q45" s="22">
        <f>IFERROR(__xludf.DUMMYFUNCTION("""COMPUTED_VALUE"""),44029)</f>
        <v>44029</v>
      </c>
    </row>
    <row r="46" customHeight="1" spans="1:17">
      <c r="A46" s="11" t="s">
        <v>295</v>
      </c>
      <c r="B46" s="11" t="s">
        <v>229</v>
      </c>
      <c r="C46" s="12">
        <v>44</v>
      </c>
      <c r="D46" s="13">
        <v>44029</v>
      </c>
      <c r="E46" s="14">
        <v>33.65</v>
      </c>
      <c r="F46" s="14">
        <f t="shared" si="0"/>
        <v>1480.6</v>
      </c>
      <c r="J46" s="15">
        <f t="shared" si="1"/>
        <v>1480.6</v>
      </c>
      <c r="N46" s="20" t="str">
        <f>IFERROR(__xludf.DUMMYFUNCTION("""COMPUTED_VALUE"""),"HYPE3")</f>
        <v>HYPE3</v>
      </c>
      <c r="O46" s="20">
        <f>IFERROR(__xludf.DUMMYFUNCTION("""COMPUTED_VALUE"""),44)</f>
        <v>44</v>
      </c>
      <c r="P46" s="15">
        <f>IFERROR(__xludf.DUMMYFUNCTION("""COMPUTED_VALUE"""),1480.6)</f>
        <v>1480.6</v>
      </c>
      <c r="Q46" s="22">
        <f>IFERROR(__xludf.DUMMYFUNCTION("""COMPUTED_VALUE"""),44029)</f>
        <v>44029</v>
      </c>
    </row>
    <row r="47" customHeight="1" spans="1:17">
      <c r="A47" s="11" t="s">
        <v>290</v>
      </c>
      <c r="B47" s="11" t="s">
        <v>229</v>
      </c>
      <c r="C47" s="12">
        <v>40</v>
      </c>
      <c r="D47" s="13">
        <v>44029</v>
      </c>
      <c r="E47" s="14">
        <v>54.99</v>
      </c>
      <c r="F47" s="14">
        <f t="shared" si="0"/>
        <v>2199.6</v>
      </c>
      <c r="J47" s="15">
        <f t="shared" si="1"/>
        <v>2199.6</v>
      </c>
      <c r="N47" s="20" t="str">
        <f>IFERROR(__xludf.DUMMYFUNCTION("""COMPUTED_VALUE"""),"PSSA3")</f>
        <v>PSSA3</v>
      </c>
      <c r="O47" s="20">
        <f>IFERROR(__xludf.DUMMYFUNCTION("""COMPUTED_VALUE"""),40)</f>
        <v>40</v>
      </c>
      <c r="P47" s="15">
        <f>IFERROR(__xludf.DUMMYFUNCTION("""COMPUTED_VALUE"""),2199.6)</f>
        <v>2199.6</v>
      </c>
      <c r="Q47" s="22">
        <f>IFERROR(__xludf.DUMMYFUNCTION("""COMPUTED_VALUE"""),44029)</f>
        <v>44029</v>
      </c>
    </row>
    <row r="48" customHeight="1" spans="1:17">
      <c r="A48" s="11" t="s">
        <v>296</v>
      </c>
      <c r="B48" s="11" t="s">
        <v>229</v>
      </c>
      <c r="C48" s="12">
        <v>41</v>
      </c>
      <c r="D48" s="13">
        <v>44029</v>
      </c>
      <c r="E48" s="14">
        <v>24</v>
      </c>
      <c r="F48" s="14">
        <f t="shared" si="0"/>
        <v>984</v>
      </c>
      <c r="J48" s="15">
        <f t="shared" si="1"/>
        <v>984</v>
      </c>
      <c r="N48" s="20" t="str">
        <f>IFERROR(__xludf.DUMMYFUNCTION("""COMPUTED_VALUE"""),"SLCA3")</f>
        <v>SLCA3</v>
      </c>
      <c r="O48" s="20">
        <f>IFERROR(__xludf.DUMMYFUNCTION("""COMPUTED_VALUE"""),41)</f>
        <v>41</v>
      </c>
      <c r="P48" s="15">
        <f>IFERROR(__xludf.DUMMYFUNCTION("""COMPUTED_VALUE"""),984)</f>
        <v>984</v>
      </c>
      <c r="Q48" s="22">
        <f>IFERROR(__xludf.DUMMYFUNCTION("""COMPUTED_VALUE"""),44029)</f>
        <v>44029</v>
      </c>
    </row>
    <row r="49" customHeight="1" spans="1:17">
      <c r="A49" s="11" t="s">
        <v>297</v>
      </c>
      <c r="B49" s="11" t="s">
        <v>229</v>
      </c>
      <c r="C49" s="12">
        <v>31</v>
      </c>
      <c r="D49" s="13">
        <v>44029</v>
      </c>
      <c r="E49" s="14">
        <v>60.88</v>
      </c>
      <c r="F49" s="14">
        <f t="shared" si="0"/>
        <v>1887.28</v>
      </c>
      <c r="J49" s="15">
        <f t="shared" si="1"/>
        <v>1887.28</v>
      </c>
      <c r="N49" s="20" t="str">
        <f>IFERROR(__xludf.DUMMYFUNCTION("""COMPUTED_VALUE"""),"VALE3")</f>
        <v>VALE3</v>
      </c>
      <c r="O49" s="20">
        <f>IFERROR(__xludf.DUMMYFUNCTION("""COMPUTED_VALUE"""),31)</f>
        <v>31</v>
      </c>
      <c r="P49" s="15">
        <f>IFERROR(__xludf.DUMMYFUNCTION("""COMPUTED_VALUE"""),1887.28)</f>
        <v>1887.28</v>
      </c>
      <c r="Q49" s="22">
        <f>IFERROR(__xludf.DUMMYFUNCTION("""COMPUTED_VALUE"""),44029)</f>
        <v>44029</v>
      </c>
    </row>
    <row r="50" customHeight="1" spans="1:17">
      <c r="A50" s="11" t="s">
        <v>293</v>
      </c>
      <c r="B50" s="11" t="s">
        <v>229</v>
      </c>
      <c r="C50" s="12">
        <v>71</v>
      </c>
      <c r="D50" s="13">
        <v>44032</v>
      </c>
      <c r="E50" s="11">
        <v>18.25</v>
      </c>
      <c r="F50" s="14">
        <f t="shared" si="0"/>
        <v>1295.75</v>
      </c>
      <c r="J50" s="15">
        <f t="shared" si="1"/>
        <v>1295.75</v>
      </c>
      <c r="N50" s="20" t="str">
        <f>IFERROR(__xludf.DUMMYFUNCTION("""COMPUTED_VALUE"""),"ENGE3")</f>
        <v>ENGE3</v>
      </c>
      <c r="O50" s="20">
        <f>IFERROR(__xludf.DUMMYFUNCTION("""COMPUTED_VALUE"""),71)</f>
        <v>71</v>
      </c>
      <c r="P50" s="15">
        <f>IFERROR(__xludf.DUMMYFUNCTION("""COMPUTED_VALUE"""),1295.75)</f>
        <v>1295.75</v>
      </c>
      <c r="Q50" s="22">
        <f>IFERROR(__xludf.DUMMYFUNCTION("""COMPUTED_VALUE"""),44032)</f>
        <v>44032</v>
      </c>
    </row>
    <row r="51" customHeight="1" spans="1:17">
      <c r="A51" s="11" t="s">
        <v>290</v>
      </c>
      <c r="B51" s="11" t="s">
        <v>229</v>
      </c>
      <c r="C51" s="12">
        <v>6</v>
      </c>
      <c r="D51" s="13">
        <v>44032</v>
      </c>
      <c r="E51" s="11">
        <v>54.15</v>
      </c>
      <c r="F51" s="14">
        <f t="shared" si="0"/>
        <v>324.9</v>
      </c>
      <c r="J51" s="15">
        <f t="shared" si="1"/>
        <v>324.9</v>
      </c>
      <c r="N51" s="20" t="str">
        <f>IFERROR(__xludf.DUMMYFUNCTION("""COMPUTED_VALUE"""),"PSSA3")</f>
        <v>PSSA3</v>
      </c>
      <c r="O51" s="20">
        <f>IFERROR(__xludf.DUMMYFUNCTION("""COMPUTED_VALUE"""),6)</f>
        <v>6</v>
      </c>
      <c r="P51" s="15">
        <f>IFERROR(__xludf.DUMMYFUNCTION("""COMPUTED_VALUE"""),324.9)</f>
        <v>324.9</v>
      </c>
      <c r="Q51" s="22">
        <f>IFERROR(__xludf.DUMMYFUNCTION("""COMPUTED_VALUE"""),44032)</f>
        <v>44032</v>
      </c>
    </row>
    <row r="52" customHeight="1" spans="1:17">
      <c r="A52" s="11" t="s">
        <v>298</v>
      </c>
      <c r="B52" s="11" t="s">
        <v>229</v>
      </c>
      <c r="C52" s="12">
        <v>51</v>
      </c>
      <c r="D52" s="13">
        <v>44033</v>
      </c>
      <c r="E52" s="11">
        <v>20.5</v>
      </c>
      <c r="F52" s="14">
        <f t="shared" si="0"/>
        <v>1045.5</v>
      </c>
      <c r="J52" s="15">
        <f t="shared" si="1"/>
        <v>1045.5</v>
      </c>
      <c r="N52" s="20" t="str">
        <f>IFERROR(__xludf.DUMMYFUNCTION("""COMPUTED_VALUE"""),"CRFB3")</f>
        <v>CRFB3</v>
      </c>
      <c r="O52" s="20">
        <f>IFERROR(__xludf.DUMMYFUNCTION("""COMPUTED_VALUE"""),51)</f>
        <v>51</v>
      </c>
      <c r="P52" s="15">
        <f>IFERROR(__xludf.DUMMYFUNCTION("""COMPUTED_VALUE"""),1045.5)</f>
        <v>1045.5</v>
      </c>
      <c r="Q52" s="22">
        <f>IFERROR(__xludf.DUMMYFUNCTION("""COMPUTED_VALUE"""),44033)</f>
        <v>44033</v>
      </c>
    </row>
    <row r="53" customHeight="1" spans="2:17">
      <c r="B53" s="11" t="s">
        <v>229</v>
      </c>
      <c r="C53" s="12"/>
      <c r="D53" s="13"/>
      <c r="F53" s="14">
        <f t="shared" si="0"/>
        <v>0</v>
      </c>
      <c r="J53" s="15">
        <f t="shared" si="1"/>
        <v>0</v>
      </c>
      <c r="N53" s="20"/>
      <c r="O53" s="20"/>
      <c r="P53" s="15">
        <f>IFERROR(__xludf.DUMMYFUNCTION("""COMPUTED_VALUE"""),0)</f>
        <v>0</v>
      </c>
      <c r="Q53" s="22"/>
    </row>
    <row r="54" customHeight="1" spans="4:17">
      <c r="D54" s="12"/>
      <c r="N54" s="20"/>
      <c r="O54" s="20"/>
      <c r="P54" s="15"/>
      <c r="Q54" s="22"/>
    </row>
    <row r="55" customHeight="1" spans="14:17">
      <c r="N55" s="20"/>
      <c r="O55" s="20"/>
      <c r="P55" s="15"/>
      <c r="Q55" s="22"/>
    </row>
    <row r="56" customHeight="1" spans="14:17">
      <c r="N56" s="20"/>
      <c r="O56" s="20"/>
      <c r="P56" s="15"/>
      <c r="Q56" s="22"/>
    </row>
    <row r="57" customHeight="1" spans="14:17">
      <c r="N57" s="20"/>
      <c r="O57" s="20"/>
      <c r="P57" s="15"/>
      <c r="Q57" s="22"/>
    </row>
    <row r="58" customHeight="1" spans="14:17">
      <c r="N58" s="20"/>
      <c r="O58" s="20"/>
      <c r="P58" s="15"/>
      <c r="Q58" s="22"/>
    </row>
    <row r="59" customHeight="1" spans="14:17">
      <c r="N59" s="20"/>
      <c r="O59" s="20"/>
      <c r="P59" s="15"/>
      <c r="Q59" s="22"/>
    </row>
    <row r="60" customHeight="1" spans="14:17">
      <c r="N60" s="20"/>
      <c r="O60" s="20"/>
      <c r="P60" s="15"/>
      <c r="Q60" s="22"/>
    </row>
    <row r="61" customHeight="1" spans="14:17">
      <c r="N61" s="20"/>
      <c r="O61" s="20"/>
      <c r="P61" s="15"/>
      <c r="Q61" s="22"/>
    </row>
    <row r="62" customHeight="1" spans="14:17">
      <c r="N62" s="20"/>
      <c r="O62" s="20"/>
      <c r="P62" s="15"/>
      <c r="Q62" s="22"/>
    </row>
    <row r="63" customHeight="1" spans="14:17">
      <c r="N63" s="20"/>
      <c r="O63" s="20"/>
      <c r="P63" s="15"/>
      <c r="Q63" s="22"/>
    </row>
    <row r="64" customHeight="1" spans="14:17">
      <c r="N64" s="20"/>
      <c r="O64" s="20"/>
      <c r="P64" s="15"/>
      <c r="Q64" s="22"/>
    </row>
    <row r="65" customHeight="1" spans="14:17">
      <c r="N65" s="20"/>
      <c r="O65" s="20"/>
      <c r="P65" s="15"/>
      <c r="Q65" s="22"/>
    </row>
    <row r="66" customHeight="1" spans="14:17">
      <c r="N66" s="20"/>
      <c r="O66" s="20"/>
      <c r="P66" s="15"/>
      <c r="Q66" s="22"/>
    </row>
    <row r="67" customHeight="1" spans="14:17">
      <c r="N67" s="20"/>
      <c r="O67" s="20"/>
      <c r="P67" s="15"/>
      <c r="Q67" s="22"/>
    </row>
    <row r="68" customHeight="1" spans="14:17">
      <c r="N68" s="20"/>
      <c r="O68" s="20"/>
      <c r="P68" s="15"/>
      <c r="Q68" s="22"/>
    </row>
    <row r="69" customHeight="1" spans="14:17">
      <c r="N69" s="20"/>
      <c r="O69" s="20"/>
      <c r="P69" s="15"/>
      <c r="Q69" s="22"/>
    </row>
    <row r="70" customHeight="1" spans="14:17">
      <c r="N70" s="20"/>
      <c r="O70" s="20"/>
      <c r="P70" s="15"/>
      <c r="Q70" s="22"/>
    </row>
    <row r="71" customHeight="1" spans="14:17">
      <c r="N71" s="20"/>
      <c r="O71" s="20"/>
      <c r="P71" s="15"/>
      <c r="Q71" s="22"/>
    </row>
    <row r="72" customHeight="1" spans="14:17">
      <c r="N72" s="20"/>
      <c r="O72" s="20"/>
      <c r="P72" s="15"/>
      <c r="Q72" s="22"/>
    </row>
    <row r="73" customHeight="1" spans="14:17">
      <c r="N73" s="20"/>
      <c r="O73" s="20"/>
      <c r="P73" s="15"/>
      <c r="Q73" s="22"/>
    </row>
    <row r="74" customHeight="1" spans="14:17">
      <c r="N74" s="20"/>
      <c r="O74" s="20"/>
      <c r="P74" s="15"/>
      <c r="Q74" s="22"/>
    </row>
    <row r="75" customHeight="1" spans="14:17">
      <c r="N75" s="20"/>
      <c r="O75" s="20"/>
      <c r="P75" s="15"/>
      <c r="Q75" s="22"/>
    </row>
    <row r="76" customHeight="1" spans="14:17">
      <c r="N76" s="20"/>
      <c r="O76" s="20"/>
      <c r="P76" s="15"/>
      <c r="Q76" s="22"/>
    </row>
    <row r="77" customHeight="1" spans="14:17">
      <c r="N77" s="20"/>
      <c r="O77" s="20"/>
      <c r="P77" s="15"/>
      <c r="Q77" s="22"/>
    </row>
    <row r="78" customHeight="1" spans="14:17">
      <c r="N78" s="20"/>
      <c r="O78" s="20"/>
      <c r="P78" s="15"/>
      <c r="Q78" s="22"/>
    </row>
    <row r="79" customHeight="1" spans="14:17">
      <c r="N79" s="20"/>
      <c r="O79" s="20"/>
      <c r="P79" s="15"/>
      <c r="Q79" s="22"/>
    </row>
    <row r="80" customHeight="1" spans="14:17">
      <c r="N80" s="20"/>
      <c r="O80" s="20"/>
      <c r="P80" s="15"/>
      <c r="Q80" s="22"/>
    </row>
    <row r="81" customHeight="1" spans="14:17">
      <c r="N81" s="20"/>
      <c r="O81" s="20"/>
      <c r="P81" s="15"/>
      <c r="Q81" s="22"/>
    </row>
    <row r="82" customHeight="1" spans="14:17">
      <c r="N82" s="20"/>
      <c r="O82" s="20"/>
      <c r="P82" s="15"/>
      <c r="Q82" s="22"/>
    </row>
    <row r="83" customHeight="1" spans="14:17">
      <c r="N83" s="20"/>
      <c r="O83" s="20"/>
      <c r="P83" s="15"/>
      <c r="Q83" s="22"/>
    </row>
    <row r="84" customHeight="1" spans="14:17">
      <c r="N84" s="20"/>
      <c r="O84" s="20"/>
      <c r="P84" s="15"/>
      <c r="Q84" s="22"/>
    </row>
    <row r="85" customHeight="1" spans="14:17">
      <c r="N85" s="20"/>
      <c r="O85" s="20"/>
      <c r="P85" s="15"/>
      <c r="Q85" s="22"/>
    </row>
    <row r="86" customHeight="1" spans="14:17">
      <c r="N86" s="20"/>
      <c r="O86" s="20"/>
      <c r="P86" s="15"/>
      <c r="Q86" s="22"/>
    </row>
    <row r="87" customHeight="1" spans="14:17">
      <c r="N87" s="20"/>
      <c r="O87" s="20"/>
      <c r="P87" s="15"/>
      <c r="Q87" s="22"/>
    </row>
    <row r="88" customHeight="1" spans="14:17">
      <c r="N88" s="20"/>
      <c r="O88" s="20"/>
      <c r="P88" s="15"/>
      <c r="Q88" s="22"/>
    </row>
    <row r="89" customHeight="1" spans="14:17">
      <c r="N89" s="20"/>
      <c r="O89" s="20"/>
      <c r="P89" s="15"/>
      <c r="Q89" s="22"/>
    </row>
    <row r="90" customHeight="1" spans="14:17">
      <c r="N90" s="20"/>
      <c r="O90" s="20"/>
      <c r="P90" s="15"/>
      <c r="Q90" s="22"/>
    </row>
    <row r="91" customHeight="1" spans="14:17">
      <c r="N91" s="20"/>
      <c r="O91" s="20"/>
      <c r="P91" s="15"/>
      <c r="Q91" s="22"/>
    </row>
    <row r="92" customHeight="1" spans="14:17">
      <c r="N92" s="20"/>
      <c r="O92" s="20"/>
      <c r="P92" s="15"/>
      <c r="Q92" s="22"/>
    </row>
    <row r="93" customHeight="1" spans="14:17">
      <c r="N93" s="20"/>
      <c r="O93" s="20"/>
      <c r="P93" s="15"/>
      <c r="Q93" s="22"/>
    </row>
    <row r="94" customHeight="1" spans="14:17">
      <c r="N94" s="20"/>
      <c r="O94" s="20"/>
      <c r="P94" s="15"/>
      <c r="Q94" s="22"/>
    </row>
    <row r="95" customHeight="1" spans="14:17">
      <c r="N95" s="20"/>
      <c r="O95" s="20"/>
      <c r="P95" s="15"/>
      <c r="Q95" s="22"/>
    </row>
    <row r="96" customHeight="1" spans="14:17">
      <c r="N96" s="20"/>
      <c r="O96" s="20"/>
      <c r="P96" s="15"/>
      <c r="Q96" s="22"/>
    </row>
    <row r="97" customHeight="1" spans="14:17">
      <c r="N97" s="20"/>
      <c r="O97" s="20"/>
      <c r="P97" s="15"/>
      <c r="Q97" s="22"/>
    </row>
    <row r="98" customHeight="1" spans="14:17">
      <c r="N98" s="20"/>
      <c r="O98" s="20"/>
      <c r="P98" s="15"/>
      <c r="Q98" s="22"/>
    </row>
    <row r="99" customHeight="1" spans="14:17">
      <c r="N99" s="20"/>
      <c r="O99" s="20"/>
      <c r="P99" s="15"/>
      <c r="Q99" s="22"/>
    </row>
    <row r="100" customHeight="1" spans="14:17">
      <c r="N100" s="20"/>
      <c r="O100" s="20"/>
      <c r="P100" s="15"/>
      <c r="Q100" s="22"/>
    </row>
    <row r="101" customHeight="1" spans="14:17">
      <c r="N101" s="20"/>
      <c r="O101" s="20"/>
      <c r="P101" s="15"/>
      <c r="Q101" s="22"/>
    </row>
    <row r="102" customHeight="1" spans="14:17">
      <c r="N102" s="20"/>
      <c r="O102" s="20"/>
      <c r="P102" s="15"/>
      <c r="Q102" s="22"/>
    </row>
    <row r="103" customHeight="1" spans="14:17">
      <c r="N103" s="20"/>
      <c r="O103" s="20"/>
      <c r="P103" s="15"/>
      <c r="Q103" s="22"/>
    </row>
    <row r="104" customHeight="1" spans="14:17">
      <c r="N104" s="20"/>
      <c r="O104" s="20"/>
      <c r="P104" s="15"/>
      <c r="Q104" s="22"/>
    </row>
    <row r="105" customHeight="1" spans="14:17">
      <c r="N105" s="20"/>
      <c r="O105" s="20"/>
      <c r="P105" s="15"/>
      <c r="Q105" s="22"/>
    </row>
    <row r="106" customHeight="1" spans="14:17">
      <c r="N106" s="20"/>
      <c r="O106" s="20"/>
      <c r="P106" s="15"/>
      <c r="Q106" s="22"/>
    </row>
    <row r="107" customHeight="1" spans="14:17">
      <c r="N107" s="20"/>
      <c r="O107" s="20"/>
      <c r="P107" s="15"/>
      <c r="Q107" s="22"/>
    </row>
    <row r="108" customHeight="1" spans="14:17">
      <c r="N108" s="20"/>
      <c r="O108" s="20"/>
      <c r="P108" s="15"/>
      <c r="Q108" s="22"/>
    </row>
    <row r="109" customHeight="1" spans="14:17">
      <c r="N109" s="20"/>
      <c r="O109" s="20"/>
      <c r="P109" s="15"/>
      <c r="Q109" s="22"/>
    </row>
    <row r="110" customHeight="1" spans="14:17">
      <c r="N110" s="20"/>
      <c r="O110" s="20"/>
      <c r="P110" s="15"/>
      <c r="Q110" s="22"/>
    </row>
    <row r="111" customHeight="1" spans="14:17">
      <c r="N111" s="20"/>
      <c r="O111" s="20"/>
      <c r="P111" s="15"/>
      <c r="Q111" s="22"/>
    </row>
    <row r="112" customHeight="1" spans="14:17">
      <c r="N112" s="20"/>
      <c r="O112" s="20"/>
      <c r="P112" s="15"/>
      <c r="Q112" s="22"/>
    </row>
    <row r="113" customHeight="1" spans="14:17">
      <c r="N113" s="20"/>
      <c r="O113" s="20"/>
      <c r="P113" s="15"/>
      <c r="Q113" s="22"/>
    </row>
    <row r="114" customHeight="1" spans="14:17">
      <c r="N114" s="20"/>
      <c r="O114" s="20"/>
      <c r="P114" s="15"/>
      <c r="Q114" s="22"/>
    </row>
    <row r="115" customHeight="1" spans="14:17">
      <c r="N115" s="20"/>
      <c r="O115" s="20"/>
      <c r="P115" s="15"/>
      <c r="Q115" s="22"/>
    </row>
    <row r="116" customHeight="1" spans="14:17">
      <c r="N116" s="20"/>
      <c r="O116" s="20"/>
      <c r="P116" s="15"/>
      <c r="Q116" s="22"/>
    </row>
    <row r="117" customHeight="1" spans="14:17">
      <c r="N117" s="20"/>
      <c r="O117" s="20"/>
      <c r="P117" s="15"/>
      <c r="Q117" s="22"/>
    </row>
    <row r="118" customHeight="1" spans="14:17">
      <c r="N118" s="20"/>
      <c r="O118" s="20"/>
      <c r="P118" s="15"/>
      <c r="Q118" s="22"/>
    </row>
    <row r="119" customHeight="1" spans="14:17">
      <c r="N119" s="20"/>
      <c r="O119" s="20"/>
      <c r="P119" s="15"/>
      <c r="Q119" s="22"/>
    </row>
    <row r="120" customHeight="1" spans="14:17">
      <c r="N120" s="20"/>
      <c r="O120" s="20"/>
      <c r="P120" s="15"/>
      <c r="Q120" s="22"/>
    </row>
    <row r="121" customHeight="1" spans="14:17">
      <c r="N121" s="20"/>
      <c r="O121" s="20"/>
      <c r="P121" s="15"/>
      <c r="Q121" s="22"/>
    </row>
    <row r="122" customHeight="1" spans="14:17">
      <c r="N122" s="20"/>
      <c r="O122" s="20"/>
      <c r="P122" s="15"/>
      <c r="Q122" s="22"/>
    </row>
    <row r="123" customHeight="1" spans="14:17">
      <c r="N123" s="20"/>
      <c r="O123" s="20"/>
      <c r="P123" s="15"/>
      <c r="Q123" s="22"/>
    </row>
    <row r="124" customHeight="1" spans="14:17">
      <c r="N124" s="20"/>
      <c r="O124" s="20"/>
      <c r="P124" s="15"/>
      <c r="Q124" s="22"/>
    </row>
    <row r="125" customHeight="1" spans="14:17">
      <c r="N125" s="20"/>
      <c r="O125" s="20"/>
      <c r="P125" s="15"/>
      <c r="Q125" s="22"/>
    </row>
    <row r="126" customHeight="1" spans="14:17">
      <c r="N126" s="20"/>
      <c r="O126" s="20"/>
      <c r="P126" s="15"/>
      <c r="Q126" s="22"/>
    </row>
    <row r="127" customHeight="1" spans="14:17">
      <c r="N127" s="20"/>
      <c r="O127" s="20"/>
      <c r="P127" s="15"/>
      <c r="Q127" s="22"/>
    </row>
    <row r="128" customHeight="1" spans="14:17">
      <c r="N128" s="20"/>
      <c r="O128" s="20"/>
      <c r="P128" s="15"/>
      <c r="Q128" s="22"/>
    </row>
    <row r="129" customHeight="1" spans="14:17">
      <c r="N129" s="20"/>
      <c r="O129" s="20"/>
      <c r="P129" s="15"/>
      <c r="Q129" s="22"/>
    </row>
    <row r="130" customHeight="1" spans="14:17">
      <c r="N130" s="20"/>
      <c r="O130" s="20"/>
      <c r="P130" s="15"/>
      <c r="Q130" s="22"/>
    </row>
    <row r="131" customHeight="1" spans="14:17">
      <c r="N131" s="20"/>
      <c r="O131" s="20"/>
      <c r="P131" s="15"/>
      <c r="Q131" s="22"/>
    </row>
    <row r="132" customHeight="1" spans="14:17">
      <c r="N132" s="20"/>
      <c r="O132" s="20"/>
      <c r="P132" s="15"/>
      <c r="Q132" s="22"/>
    </row>
    <row r="133" customHeight="1" spans="14:17">
      <c r="N133" s="20"/>
      <c r="O133" s="20"/>
      <c r="P133" s="15"/>
      <c r="Q133" s="22"/>
    </row>
    <row r="134" customHeight="1" spans="14:17">
      <c r="N134" s="20"/>
      <c r="O134" s="20"/>
      <c r="P134" s="15"/>
      <c r="Q134" s="22"/>
    </row>
    <row r="135" customHeight="1" spans="14:17">
      <c r="N135" s="20"/>
      <c r="O135" s="20"/>
      <c r="P135" s="15"/>
      <c r="Q135" s="22"/>
    </row>
    <row r="136" customHeight="1" spans="14:17">
      <c r="N136" s="20"/>
      <c r="O136" s="20"/>
      <c r="P136" s="15"/>
      <c r="Q136" s="22"/>
    </row>
    <row r="137" customHeight="1" spans="14:17">
      <c r="N137" s="20"/>
      <c r="O137" s="20"/>
      <c r="P137" s="15"/>
      <c r="Q137" s="22"/>
    </row>
    <row r="138" customHeight="1" spans="14:17">
      <c r="N138" s="20"/>
      <c r="O138" s="20"/>
      <c r="P138" s="15"/>
      <c r="Q138" s="22"/>
    </row>
    <row r="139" customHeight="1" spans="14:17">
      <c r="N139" s="20"/>
      <c r="O139" s="20"/>
      <c r="P139" s="15"/>
      <c r="Q139" s="22"/>
    </row>
    <row r="140" customHeight="1" spans="14:17">
      <c r="N140" s="20"/>
      <c r="O140" s="20"/>
      <c r="P140" s="15"/>
      <c r="Q140" s="22"/>
    </row>
    <row r="141" customHeight="1" spans="14:17">
      <c r="N141" s="20"/>
      <c r="O141" s="20"/>
      <c r="P141" s="15"/>
      <c r="Q141" s="22"/>
    </row>
    <row r="142" customHeight="1" spans="14:17">
      <c r="N142" s="20"/>
      <c r="O142" s="20"/>
      <c r="P142" s="15"/>
      <c r="Q142" s="22"/>
    </row>
    <row r="143" customHeight="1" spans="14:17">
      <c r="N143" s="20"/>
      <c r="O143" s="20"/>
      <c r="P143" s="15"/>
      <c r="Q143" s="22"/>
    </row>
    <row r="144" customHeight="1" spans="14:17">
      <c r="N144" s="20"/>
      <c r="O144" s="20"/>
      <c r="P144" s="15"/>
      <c r="Q144" s="22"/>
    </row>
    <row r="145" customHeight="1" spans="14:17">
      <c r="N145" s="20"/>
      <c r="O145" s="20"/>
      <c r="P145" s="15"/>
      <c r="Q145" s="22"/>
    </row>
    <row r="146" customHeight="1" spans="14:17">
      <c r="N146" s="20"/>
      <c r="O146" s="20"/>
      <c r="P146" s="15"/>
      <c r="Q146" s="22"/>
    </row>
    <row r="147" customHeight="1" spans="14:17">
      <c r="N147" s="20"/>
      <c r="O147" s="20"/>
      <c r="P147" s="15"/>
      <c r="Q147" s="22"/>
    </row>
    <row r="148" customHeight="1" spans="14:17">
      <c r="N148" s="20"/>
      <c r="O148" s="20"/>
      <c r="P148" s="15"/>
      <c r="Q148" s="22"/>
    </row>
    <row r="149" customHeight="1" spans="14:17">
      <c r="N149" s="20"/>
      <c r="O149" s="20"/>
      <c r="P149" s="15"/>
      <c r="Q149" s="22"/>
    </row>
    <row r="150" customHeight="1" spans="14:17">
      <c r="N150" s="20"/>
      <c r="O150" s="20"/>
      <c r="P150" s="15"/>
      <c r="Q150" s="22"/>
    </row>
    <row r="151" customHeight="1" spans="14:17">
      <c r="N151" s="20"/>
      <c r="O151" s="20"/>
      <c r="P151" s="15"/>
      <c r="Q151" s="22"/>
    </row>
    <row r="152" customHeight="1" spans="14:17">
      <c r="N152" s="20"/>
      <c r="O152" s="20"/>
      <c r="P152" s="15"/>
      <c r="Q152" s="22"/>
    </row>
    <row r="153" customHeight="1" spans="14:17">
      <c r="N153" s="20"/>
      <c r="O153" s="20"/>
      <c r="P153" s="15"/>
      <c r="Q153" s="22"/>
    </row>
    <row r="154" customHeight="1" spans="14:17">
      <c r="N154" s="20"/>
      <c r="O154" s="20"/>
      <c r="P154" s="15"/>
      <c r="Q154" s="22"/>
    </row>
    <row r="155" customHeight="1" spans="14:17">
      <c r="N155" s="20"/>
      <c r="O155" s="20"/>
      <c r="P155" s="15"/>
      <c r="Q155" s="22"/>
    </row>
    <row r="156" customHeight="1" spans="14:17">
      <c r="N156" s="20"/>
      <c r="O156" s="20"/>
      <c r="P156" s="15"/>
      <c r="Q156" s="22"/>
    </row>
    <row r="157" customHeight="1" spans="14:17">
      <c r="N157" s="20"/>
      <c r="O157" s="20"/>
      <c r="P157" s="15"/>
      <c r="Q157" s="22"/>
    </row>
    <row r="158" customHeight="1" spans="14:17">
      <c r="N158" s="20"/>
      <c r="O158" s="20"/>
      <c r="P158" s="15"/>
      <c r="Q158" s="22"/>
    </row>
    <row r="159" customHeight="1" spans="14:17">
      <c r="N159" s="20"/>
      <c r="O159" s="20"/>
      <c r="P159" s="15"/>
      <c r="Q159" s="22"/>
    </row>
    <row r="160" customHeight="1" spans="14:17">
      <c r="N160" s="20"/>
      <c r="O160" s="20"/>
      <c r="P160" s="15"/>
      <c r="Q160" s="22"/>
    </row>
    <row r="161" customHeight="1" spans="14:17">
      <c r="N161" s="20"/>
      <c r="O161" s="20"/>
      <c r="P161" s="15"/>
      <c r="Q161" s="22"/>
    </row>
    <row r="162" customHeight="1" spans="14:17">
      <c r="N162" s="20"/>
      <c r="O162" s="20"/>
      <c r="P162" s="15"/>
      <c r="Q162" s="22"/>
    </row>
    <row r="163" customHeight="1" spans="14:17">
      <c r="N163" s="20"/>
      <c r="O163" s="20"/>
      <c r="P163" s="15"/>
      <c r="Q163" s="22"/>
    </row>
    <row r="164" customHeight="1" spans="14:17">
      <c r="N164" s="20"/>
      <c r="O164" s="20"/>
      <c r="P164" s="15"/>
      <c r="Q164" s="22"/>
    </row>
    <row r="165" customHeight="1" spans="14:17">
      <c r="N165" s="20"/>
      <c r="O165" s="20"/>
      <c r="P165" s="15"/>
      <c r="Q165" s="22"/>
    </row>
    <row r="166" customHeight="1" spans="14:17">
      <c r="N166" s="20"/>
      <c r="O166" s="20"/>
      <c r="P166" s="15"/>
      <c r="Q166" s="22"/>
    </row>
    <row r="167" customHeight="1" spans="14:17">
      <c r="N167" s="20"/>
      <c r="O167" s="20"/>
      <c r="P167" s="15"/>
      <c r="Q167" s="22"/>
    </row>
    <row r="168" customHeight="1" spans="14:17">
      <c r="N168" s="20"/>
      <c r="O168" s="20"/>
      <c r="P168" s="15"/>
      <c r="Q168" s="22"/>
    </row>
    <row r="169" customHeight="1" spans="14:17">
      <c r="N169" s="20"/>
      <c r="O169" s="20"/>
      <c r="P169" s="15"/>
      <c r="Q169" s="22"/>
    </row>
    <row r="170" customHeight="1" spans="14:17">
      <c r="N170" s="20"/>
      <c r="O170" s="20"/>
      <c r="P170" s="15"/>
      <c r="Q170" s="22"/>
    </row>
    <row r="171" customHeight="1" spans="14:17">
      <c r="N171" s="20"/>
      <c r="O171" s="20"/>
      <c r="P171" s="15"/>
      <c r="Q171" s="22"/>
    </row>
    <row r="172" customHeight="1" spans="14:17">
      <c r="N172" s="20"/>
      <c r="O172" s="20"/>
      <c r="P172" s="15"/>
      <c r="Q172" s="22"/>
    </row>
    <row r="173" customHeight="1" spans="14:17">
      <c r="N173" s="20"/>
      <c r="O173" s="20"/>
      <c r="P173" s="15"/>
      <c r="Q173" s="22"/>
    </row>
    <row r="174" customHeight="1" spans="14:17">
      <c r="N174" s="20"/>
      <c r="O174" s="20"/>
      <c r="P174" s="15"/>
      <c r="Q174" s="22"/>
    </row>
    <row r="175" customHeight="1" spans="14:17">
      <c r="N175" s="20"/>
      <c r="O175" s="20"/>
      <c r="P175" s="15"/>
      <c r="Q175" s="22"/>
    </row>
    <row r="176" customHeight="1" spans="14:17">
      <c r="N176" s="20"/>
      <c r="O176" s="20"/>
      <c r="P176" s="15"/>
      <c r="Q176" s="22"/>
    </row>
    <row r="177" customHeight="1" spans="14:17">
      <c r="N177" s="20"/>
      <c r="O177" s="20"/>
      <c r="P177" s="15"/>
      <c r="Q177" s="22"/>
    </row>
    <row r="178" customHeight="1" spans="14:17">
      <c r="N178" s="20"/>
      <c r="O178" s="20"/>
      <c r="P178" s="15"/>
      <c r="Q178" s="22"/>
    </row>
    <row r="179" customHeight="1" spans="14:17">
      <c r="N179" s="20"/>
      <c r="O179" s="20"/>
      <c r="P179" s="15"/>
      <c r="Q179" s="22"/>
    </row>
    <row r="180" customHeight="1" spans="14:17">
      <c r="N180" s="20"/>
      <c r="O180" s="20"/>
      <c r="P180" s="15"/>
      <c r="Q180" s="22"/>
    </row>
    <row r="181" customHeight="1" spans="14:17">
      <c r="N181" s="20"/>
      <c r="O181" s="20"/>
      <c r="P181" s="15"/>
      <c r="Q181" s="22"/>
    </row>
    <row r="182" customHeight="1" spans="14:17">
      <c r="N182" s="20"/>
      <c r="O182" s="20"/>
      <c r="P182" s="15"/>
      <c r="Q182" s="22"/>
    </row>
    <row r="183" customHeight="1" spans="14:17">
      <c r="N183" s="20"/>
      <c r="O183" s="20"/>
      <c r="P183" s="15"/>
      <c r="Q183" s="22"/>
    </row>
    <row r="184" customHeight="1" spans="14:17">
      <c r="N184" s="20"/>
      <c r="O184" s="20"/>
      <c r="P184" s="15"/>
      <c r="Q184" s="22"/>
    </row>
    <row r="185" customHeight="1" spans="14:17">
      <c r="N185" s="20"/>
      <c r="O185" s="20"/>
      <c r="P185" s="15"/>
      <c r="Q185" s="22"/>
    </row>
    <row r="186" customHeight="1" spans="14:17">
      <c r="N186" s="20"/>
      <c r="O186" s="20"/>
      <c r="P186" s="15"/>
      <c r="Q186" s="22"/>
    </row>
    <row r="187" customHeight="1" spans="14:17">
      <c r="N187" s="20"/>
      <c r="O187" s="20"/>
      <c r="P187" s="15"/>
      <c r="Q187" s="22"/>
    </row>
    <row r="188" customHeight="1" spans="14:17">
      <c r="N188" s="20"/>
      <c r="O188" s="20"/>
      <c r="P188" s="15"/>
      <c r="Q188" s="22"/>
    </row>
    <row r="189" customHeight="1" spans="14:17">
      <c r="N189" s="20"/>
      <c r="O189" s="20"/>
      <c r="P189" s="15"/>
      <c r="Q189" s="22"/>
    </row>
    <row r="190" customHeight="1" spans="14:17">
      <c r="N190" s="20"/>
      <c r="O190" s="20"/>
      <c r="P190" s="15"/>
      <c r="Q190" s="22"/>
    </row>
    <row r="191" customHeight="1" spans="14:17">
      <c r="N191" s="20"/>
      <c r="O191" s="20"/>
      <c r="P191" s="15"/>
      <c r="Q191" s="22"/>
    </row>
    <row r="192" customHeight="1" spans="14:17">
      <c r="N192" s="20"/>
      <c r="O192" s="20"/>
      <c r="P192" s="15"/>
      <c r="Q192" s="22"/>
    </row>
    <row r="193" customHeight="1" spans="14:17">
      <c r="N193" s="20"/>
      <c r="O193" s="20"/>
      <c r="P193" s="15"/>
      <c r="Q193" s="22"/>
    </row>
    <row r="194" customHeight="1" spans="14:17">
      <c r="N194" s="20"/>
      <c r="O194" s="20"/>
      <c r="P194" s="15"/>
      <c r="Q194" s="22"/>
    </row>
    <row r="195" customHeight="1" spans="14:17">
      <c r="N195" s="20"/>
      <c r="O195" s="20"/>
      <c r="P195" s="15"/>
      <c r="Q195" s="22"/>
    </row>
    <row r="196" customHeight="1" spans="14:17">
      <c r="N196" s="20"/>
      <c r="O196" s="20"/>
      <c r="P196" s="15"/>
      <c r="Q196" s="22"/>
    </row>
    <row r="197" customHeight="1" spans="14:17">
      <c r="N197" s="20"/>
      <c r="O197" s="20"/>
      <c r="P197" s="15"/>
      <c r="Q197" s="22"/>
    </row>
    <row r="198" customHeight="1" spans="14:17">
      <c r="N198" s="20"/>
      <c r="O198" s="20"/>
      <c r="P198" s="15"/>
      <c r="Q198" s="22"/>
    </row>
    <row r="199" customHeight="1" spans="14:17">
      <c r="N199" s="20"/>
      <c r="O199" s="20"/>
      <c r="P199" s="15"/>
      <c r="Q199" s="22"/>
    </row>
    <row r="200" customHeight="1" spans="14:17">
      <c r="N200" s="20"/>
      <c r="O200" s="20"/>
      <c r="P200" s="15"/>
      <c r="Q200" s="22"/>
    </row>
    <row r="201" customHeight="1" spans="14:17">
      <c r="N201" s="20"/>
      <c r="O201" s="20"/>
      <c r="P201" s="15"/>
      <c r="Q201" s="22"/>
    </row>
    <row r="202" customHeight="1" spans="14:17">
      <c r="N202" s="20"/>
      <c r="O202" s="20"/>
      <c r="P202" s="15"/>
      <c r="Q202" s="22"/>
    </row>
    <row r="203" customHeight="1" spans="14:17">
      <c r="N203" s="20"/>
      <c r="O203" s="20"/>
      <c r="P203" s="15"/>
      <c r="Q203" s="22"/>
    </row>
    <row r="204" customHeight="1" spans="14:17">
      <c r="N204" s="20"/>
      <c r="O204" s="20"/>
      <c r="P204" s="15"/>
      <c r="Q204" s="22"/>
    </row>
    <row r="205" customHeight="1" spans="14:17">
      <c r="N205" s="20"/>
      <c r="O205" s="20"/>
      <c r="P205" s="15"/>
      <c r="Q205" s="22"/>
    </row>
    <row r="206" customHeight="1" spans="14:17">
      <c r="N206" s="20"/>
      <c r="O206" s="20"/>
      <c r="P206" s="15"/>
      <c r="Q206" s="22"/>
    </row>
    <row r="207" customHeight="1" spans="14:17">
      <c r="N207" s="20"/>
      <c r="O207" s="20"/>
      <c r="P207" s="15"/>
      <c r="Q207" s="22"/>
    </row>
    <row r="208" customHeight="1" spans="14:17">
      <c r="N208" s="20"/>
      <c r="O208" s="20"/>
      <c r="P208" s="15"/>
      <c r="Q208" s="22"/>
    </row>
    <row r="209" customHeight="1" spans="14:17">
      <c r="N209" s="20"/>
      <c r="O209" s="20"/>
      <c r="P209" s="15"/>
      <c r="Q209" s="22"/>
    </row>
    <row r="210" customHeight="1" spans="14:17">
      <c r="N210" s="20"/>
      <c r="O210" s="20"/>
      <c r="P210" s="15"/>
      <c r="Q210" s="22"/>
    </row>
    <row r="211" customHeight="1" spans="14:17">
      <c r="N211" s="20"/>
      <c r="O211" s="20"/>
      <c r="P211" s="15"/>
      <c r="Q211" s="22"/>
    </row>
    <row r="212" customHeight="1" spans="14:17">
      <c r="N212" s="20"/>
      <c r="O212" s="20"/>
      <c r="P212" s="15"/>
      <c r="Q212" s="22"/>
    </row>
    <row r="213" customHeight="1" spans="14:17">
      <c r="N213" s="20"/>
      <c r="O213" s="20"/>
      <c r="P213" s="15"/>
      <c r="Q213" s="22"/>
    </row>
    <row r="214" customHeight="1" spans="14:17">
      <c r="N214" s="20"/>
      <c r="O214" s="20"/>
      <c r="P214" s="15"/>
      <c r="Q214" s="22"/>
    </row>
    <row r="215" customHeight="1" spans="14:17">
      <c r="N215" s="20"/>
      <c r="O215" s="20"/>
      <c r="P215" s="15"/>
      <c r="Q215" s="22"/>
    </row>
    <row r="216" customHeight="1" spans="14:17">
      <c r="N216" s="20"/>
      <c r="O216" s="20"/>
      <c r="P216" s="15"/>
      <c r="Q216" s="22"/>
    </row>
    <row r="217" customHeight="1" spans="14:17">
      <c r="N217" s="20"/>
      <c r="O217" s="20"/>
      <c r="P217" s="15"/>
      <c r="Q217" s="22"/>
    </row>
    <row r="218" customHeight="1" spans="14:17">
      <c r="N218" s="20"/>
      <c r="O218" s="20"/>
      <c r="P218" s="15"/>
      <c r="Q218" s="22"/>
    </row>
    <row r="219" customHeight="1" spans="14:17">
      <c r="N219" s="20"/>
      <c r="O219" s="20"/>
      <c r="P219" s="15"/>
      <c r="Q219" s="22"/>
    </row>
    <row r="220" customHeight="1" spans="14:17">
      <c r="N220" s="20"/>
      <c r="O220" s="20"/>
      <c r="P220" s="15"/>
      <c r="Q220" s="22"/>
    </row>
    <row r="221" customHeight="1" spans="14:17">
      <c r="N221" s="20"/>
      <c r="O221" s="20"/>
      <c r="P221" s="15"/>
      <c r="Q221" s="22"/>
    </row>
    <row r="222" customHeight="1" spans="14:17">
      <c r="N222" s="20"/>
      <c r="O222" s="20"/>
      <c r="P222" s="15"/>
      <c r="Q222" s="22"/>
    </row>
    <row r="223" customHeight="1" spans="14:17">
      <c r="N223" s="20"/>
      <c r="O223" s="20"/>
      <c r="P223" s="15"/>
      <c r="Q223" s="22"/>
    </row>
    <row r="224" customHeight="1" spans="14:17">
      <c r="N224" s="20"/>
      <c r="O224" s="20"/>
      <c r="P224" s="15"/>
      <c r="Q224" s="22"/>
    </row>
    <row r="225" customHeight="1" spans="14:17">
      <c r="N225" s="20"/>
      <c r="O225" s="20"/>
      <c r="P225" s="15"/>
      <c r="Q225" s="22"/>
    </row>
    <row r="226" customHeight="1" spans="14:17">
      <c r="N226" s="20"/>
      <c r="O226" s="20"/>
      <c r="P226" s="15"/>
      <c r="Q226" s="22"/>
    </row>
    <row r="227" customHeight="1" spans="14:17">
      <c r="N227" s="20"/>
      <c r="O227" s="20"/>
      <c r="P227" s="15"/>
      <c r="Q227" s="22"/>
    </row>
    <row r="228" customHeight="1" spans="14:17">
      <c r="N228" s="20"/>
      <c r="O228" s="20"/>
      <c r="P228" s="15"/>
      <c r="Q228" s="22"/>
    </row>
    <row r="229" customHeight="1" spans="14:17">
      <c r="N229" s="20"/>
      <c r="O229" s="20"/>
      <c r="P229" s="15"/>
      <c r="Q229" s="22"/>
    </row>
    <row r="230" customHeight="1" spans="14:17">
      <c r="N230" s="20"/>
      <c r="O230" s="20"/>
      <c r="P230" s="15"/>
      <c r="Q230" s="22"/>
    </row>
    <row r="231" customHeight="1" spans="14:17">
      <c r="N231" s="20"/>
      <c r="O231" s="20"/>
      <c r="P231" s="15"/>
      <c r="Q231" s="22"/>
    </row>
    <row r="232" customHeight="1" spans="14:17">
      <c r="N232" s="20"/>
      <c r="O232" s="20"/>
      <c r="P232" s="15"/>
      <c r="Q232" s="22"/>
    </row>
    <row r="233" customHeight="1" spans="14:17">
      <c r="N233" s="20"/>
      <c r="O233" s="20"/>
      <c r="P233" s="15"/>
      <c r="Q233" s="22"/>
    </row>
    <row r="234" customHeight="1" spans="14:17">
      <c r="N234" s="20"/>
      <c r="O234" s="20"/>
      <c r="P234" s="15"/>
      <c r="Q234" s="22"/>
    </row>
    <row r="235" customHeight="1" spans="14:17">
      <c r="N235" s="20"/>
      <c r="O235" s="20"/>
      <c r="P235" s="15"/>
      <c r="Q235" s="22"/>
    </row>
    <row r="236" customHeight="1" spans="14:17">
      <c r="N236" s="20"/>
      <c r="O236" s="20"/>
      <c r="P236" s="15"/>
      <c r="Q236" s="22"/>
    </row>
    <row r="237" customHeight="1" spans="14:17">
      <c r="N237" s="20"/>
      <c r="O237" s="20"/>
      <c r="P237" s="15"/>
      <c r="Q237" s="22"/>
    </row>
    <row r="238" customHeight="1" spans="14:17">
      <c r="N238" s="20"/>
      <c r="O238" s="20"/>
      <c r="P238" s="15"/>
      <c r="Q238" s="22"/>
    </row>
    <row r="239" customHeight="1" spans="14:17">
      <c r="N239" s="20"/>
      <c r="O239" s="20"/>
      <c r="P239" s="15"/>
      <c r="Q239" s="22"/>
    </row>
    <row r="240" customHeight="1" spans="14:17">
      <c r="N240" s="20"/>
      <c r="O240" s="20"/>
      <c r="P240" s="15"/>
      <c r="Q240" s="22"/>
    </row>
    <row r="241" customHeight="1" spans="14:17">
      <c r="N241" s="20"/>
      <c r="O241" s="20"/>
      <c r="P241" s="15"/>
      <c r="Q241" s="22"/>
    </row>
    <row r="242" customHeight="1" spans="14:17">
      <c r="N242" s="20"/>
      <c r="O242" s="20"/>
      <c r="P242" s="15"/>
      <c r="Q242" s="22"/>
    </row>
    <row r="243" customHeight="1" spans="14:17">
      <c r="N243" s="20"/>
      <c r="O243" s="20"/>
      <c r="P243" s="15"/>
      <c r="Q243" s="22"/>
    </row>
    <row r="244" customHeight="1" spans="14:17">
      <c r="N244" s="20"/>
      <c r="O244" s="20"/>
      <c r="P244" s="15"/>
      <c r="Q244" s="22"/>
    </row>
    <row r="245" customHeight="1" spans="14:17">
      <c r="N245" s="20"/>
      <c r="O245" s="20"/>
      <c r="P245" s="15"/>
      <c r="Q245" s="22"/>
    </row>
    <row r="246" customHeight="1" spans="14:17">
      <c r="N246" s="20"/>
      <c r="O246" s="20"/>
      <c r="P246" s="15"/>
      <c r="Q246" s="22"/>
    </row>
    <row r="247" customHeight="1" spans="14:17">
      <c r="N247" s="20"/>
      <c r="O247" s="20"/>
      <c r="P247" s="15"/>
      <c r="Q247" s="22"/>
    </row>
    <row r="248" customHeight="1" spans="14:17">
      <c r="N248" s="20"/>
      <c r="O248" s="20"/>
      <c r="P248" s="15"/>
      <c r="Q248" s="22"/>
    </row>
    <row r="249" customHeight="1" spans="14:17">
      <c r="N249" s="20"/>
      <c r="O249" s="20"/>
      <c r="P249" s="15"/>
      <c r="Q249" s="22"/>
    </row>
    <row r="250" customHeight="1" spans="14:17">
      <c r="N250" s="20"/>
      <c r="O250" s="20"/>
      <c r="P250" s="15"/>
      <c r="Q250" s="22"/>
    </row>
    <row r="251" customHeight="1" spans="14:17">
      <c r="N251" s="20"/>
      <c r="O251" s="20"/>
      <c r="P251" s="15"/>
      <c r="Q251" s="22"/>
    </row>
    <row r="252" customHeight="1" spans="14:17">
      <c r="N252" s="20"/>
      <c r="O252" s="20"/>
      <c r="P252" s="15"/>
      <c r="Q252" s="22"/>
    </row>
    <row r="253" customHeight="1" spans="14:17">
      <c r="N253" s="20"/>
      <c r="O253" s="20"/>
      <c r="P253" s="15"/>
      <c r="Q253" s="22"/>
    </row>
    <row r="254" customHeight="1" spans="14:17">
      <c r="N254" s="20"/>
      <c r="O254" s="20"/>
      <c r="P254" s="15"/>
      <c r="Q254" s="22"/>
    </row>
    <row r="255" customHeight="1" spans="14:17">
      <c r="N255" s="20"/>
      <c r="O255" s="20"/>
      <c r="P255" s="15"/>
      <c r="Q255" s="22"/>
    </row>
    <row r="256" customHeight="1" spans="14:17">
      <c r="N256" s="20"/>
      <c r="O256" s="20"/>
      <c r="P256" s="15"/>
      <c r="Q256" s="22"/>
    </row>
    <row r="257" customHeight="1" spans="14:17">
      <c r="N257" s="20"/>
      <c r="O257" s="20"/>
      <c r="P257" s="15"/>
      <c r="Q257" s="22"/>
    </row>
    <row r="258" customHeight="1" spans="14:17">
      <c r="N258" s="20"/>
      <c r="O258" s="20"/>
      <c r="P258" s="15"/>
      <c r="Q258" s="22"/>
    </row>
    <row r="259" customHeight="1" spans="14:17">
      <c r="N259" s="20"/>
      <c r="O259" s="20"/>
      <c r="P259" s="15"/>
      <c r="Q259" s="22"/>
    </row>
    <row r="260" customHeight="1" spans="14:17">
      <c r="N260" s="20"/>
      <c r="O260" s="20"/>
      <c r="P260" s="15"/>
      <c r="Q260" s="22"/>
    </row>
    <row r="261" customHeight="1" spans="14:17">
      <c r="N261" s="20"/>
      <c r="O261" s="20"/>
      <c r="P261" s="15"/>
      <c r="Q261" s="22"/>
    </row>
    <row r="262" customHeight="1" spans="14:17">
      <c r="N262" s="20"/>
      <c r="O262" s="20"/>
      <c r="P262" s="15"/>
      <c r="Q262" s="22"/>
    </row>
    <row r="263" customHeight="1" spans="14:17">
      <c r="N263" s="20"/>
      <c r="O263" s="20"/>
      <c r="P263" s="15"/>
      <c r="Q263" s="22"/>
    </row>
    <row r="264" customHeight="1" spans="14:17">
      <c r="N264" s="20"/>
      <c r="O264" s="20"/>
      <c r="P264" s="15"/>
      <c r="Q264" s="22"/>
    </row>
    <row r="265" customHeight="1" spans="14:17">
      <c r="N265" s="20"/>
      <c r="O265" s="20"/>
      <c r="P265" s="15"/>
      <c r="Q265" s="22"/>
    </row>
    <row r="266" customHeight="1" spans="14:17">
      <c r="N266" s="20"/>
      <c r="O266" s="20"/>
      <c r="P266" s="15"/>
      <c r="Q266" s="22"/>
    </row>
    <row r="267" customHeight="1" spans="14:17">
      <c r="N267" s="20"/>
      <c r="O267" s="20"/>
      <c r="P267" s="15"/>
      <c r="Q267" s="22"/>
    </row>
    <row r="268" customHeight="1" spans="14:17">
      <c r="N268" s="20"/>
      <c r="O268" s="20"/>
      <c r="P268" s="15"/>
      <c r="Q268" s="22"/>
    </row>
    <row r="269" customHeight="1" spans="14:17">
      <c r="N269" s="20"/>
      <c r="O269" s="20"/>
      <c r="P269" s="15"/>
      <c r="Q269" s="22"/>
    </row>
    <row r="270" customHeight="1" spans="14:17">
      <c r="N270" s="20"/>
      <c r="O270" s="20"/>
      <c r="P270" s="15"/>
      <c r="Q270" s="22"/>
    </row>
    <row r="271" customHeight="1" spans="14:17">
      <c r="N271" s="20"/>
      <c r="O271" s="20"/>
      <c r="P271" s="15"/>
      <c r="Q271" s="22"/>
    </row>
    <row r="272" customHeight="1" spans="14:17">
      <c r="N272" s="20"/>
      <c r="O272" s="20"/>
      <c r="P272" s="15"/>
      <c r="Q272" s="22"/>
    </row>
    <row r="273" customHeight="1" spans="14:17">
      <c r="N273" s="20"/>
      <c r="O273" s="20"/>
      <c r="P273" s="15"/>
      <c r="Q273" s="22"/>
    </row>
    <row r="274" customHeight="1" spans="14:17">
      <c r="N274" s="20"/>
      <c r="O274" s="20"/>
      <c r="P274" s="15"/>
      <c r="Q274" s="22"/>
    </row>
    <row r="275" customHeight="1" spans="14:17">
      <c r="N275" s="20"/>
      <c r="O275" s="20"/>
      <c r="P275" s="15"/>
      <c r="Q275" s="22"/>
    </row>
    <row r="276" customHeight="1" spans="14:17">
      <c r="N276" s="20"/>
      <c r="O276" s="20"/>
      <c r="P276" s="15"/>
      <c r="Q276" s="22"/>
    </row>
    <row r="277" customHeight="1" spans="14:17">
      <c r="N277" s="20"/>
      <c r="O277" s="20"/>
      <c r="P277" s="15"/>
      <c r="Q277" s="22"/>
    </row>
    <row r="278" customHeight="1" spans="14:17">
      <c r="N278" s="20"/>
      <c r="O278" s="20"/>
      <c r="P278" s="15"/>
      <c r="Q278" s="22"/>
    </row>
    <row r="279" customHeight="1" spans="14:17">
      <c r="N279" s="20"/>
      <c r="O279" s="20"/>
      <c r="P279" s="15"/>
      <c r="Q279" s="22"/>
    </row>
    <row r="280" customHeight="1" spans="14:17">
      <c r="N280" s="20"/>
      <c r="O280" s="20"/>
      <c r="P280" s="15"/>
      <c r="Q280" s="22"/>
    </row>
    <row r="281" customHeight="1" spans="14:17">
      <c r="N281" s="20"/>
      <c r="O281" s="20"/>
      <c r="P281" s="15"/>
      <c r="Q281" s="22"/>
    </row>
    <row r="282" customHeight="1" spans="14:17">
      <c r="N282" s="20"/>
      <c r="O282" s="20"/>
      <c r="P282" s="15"/>
      <c r="Q282" s="22"/>
    </row>
    <row r="283" customHeight="1" spans="14:17">
      <c r="N283" s="20"/>
      <c r="O283" s="20"/>
      <c r="P283" s="15"/>
      <c r="Q283" s="22"/>
    </row>
    <row r="284" customHeight="1" spans="14:17">
      <c r="N284" s="20"/>
      <c r="O284" s="20"/>
      <c r="P284" s="15"/>
      <c r="Q284" s="22"/>
    </row>
    <row r="285" customHeight="1" spans="14:17">
      <c r="N285" s="20"/>
      <c r="O285" s="20"/>
      <c r="P285" s="15"/>
      <c r="Q285" s="22"/>
    </row>
    <row r="286" customHeight="1" spans="14:17">
      <c r="N286" s="20"/>
      <c r="O286" s="20"/>
      <c r="P286" s="15"/>
      <c r="Q286" s="22"/>
    </row>
    <row r="287" customHeight="1" spans="14:17">
      <c r="N287" s="20"/>
      <c r="O287" s="20"/>
      <c r="P287" s="15"/>
      <c r="Q287" s="22"/>
    </row>
    <row r="288" customHeight="1" spans="14:17">
      <c r="N288" s="20"/>
      <c r="O288" s="20"/>
      <c r="P288" s="15"/>
      <c r="Q288" s="22"/>
    </row>
    <row r="289" customHeight="1" spans="14:17">
      <c r="N289" s="20"/>
      <c r="O289" s="20"/>
      <c r="P289" s="15"/>
      <c r="Q289" s="22"/>
    </row>
    <row r="290" customHeight="1" spans="14:17">
      <c r="N290" s="20"/>
      <c r="O290" s="20"/>
      <c r="P290" s="15"/>
      <c r="Q290" s="22"/>
    </row>
    <row r="291" customHeight="1" spans="14:17">
      <c r="N291" s="20"/>
      <c r="O291" s="20"/>
      <c r="P291" s="15"/>
      <c r="Q291" s="22"/>
    </row>
    <row r="292" customHeight="1" spans="14:17">
      <c r="N292" s="20"/>
      <c r="O292" s="20"/>
      <c r="P292" s="15"/>
      <c r="Q292" s="22"/>
    </row>
    <row r="293" customHeight="1" spans="14:17">
      <c r="N293" s="20"/>
      <c r="O293" s="20"/>
      <c r="P293" s="15"/>
      <c r="Q293" s="22"/>
    </row>
    <row r="294" customHeight="1" spans="14:17">
      <c r="N294" s="20"/>
      <c r="O294" s="20"/>
      <c r="P294" s="15"/>
      <c r="Q294" s="22"/>
    </row>
    <row r="295" customHeight="1" spans="14:17">
      <c r="N295" s="20"/>
      <c r="O295" s="20"/>
      <c r="P295" s="15"/>
      <c r="Q295" s="22"/>
    </row>
    <row r="296" customHeight="1" spans="14:17">
      <c r="N296" s="20"/>
      <c r="O296" s="20"/>
      <c r="P296" s="15"/>
      <c r="Q296" s="22"/>
    </row>
    <row r="297" customHeight="1" spans="14:17">
      <c r="N297" s="20"/>
      <c r="O297" s="20"/>
      <c r="P297" s="15"/>
      <c r="Q297" s="22"/>
    </row>
    <row r="298" customHeight="1" spans="14:17">
      <c r="N298" s="20"/>
      <c r="O298" s="20"/>
      <c r="P298" s="15"/>
      <c r="Q298" s="22"/>
    </row>
    <row r="299" customHeight="1" spans="14:17">
      <c r="N299" s="20"/>
      <c r="O299" s="20"/>
      <c r="P299" s="15"/>
      <c r="Q299" s="22"/>
    </row>
    <row r="300" customHeight="1" spans="14:17">
      <c r="N300" s="20"/>
      <c r="O300" s="20"/>
      <c r="P300" s="15"/>
      <c r="Q300" s="22"/>
    </row>
    <row r="301" customHeight="1" spans="14:17">
      <c r="N301" s="20"/>
      <c r="O301" s="20"/>
      <c r="P301" s="15"/>
      <c r="Q301" s="22"/>
    </row>
    <row r="302" customHeight="1" spans="14:17">
      <c r="N302" s="20"/>
      <c r="O302" s="20"/>
      <c r="P302" s="15"/>
      <c r="Q302" s="22"/>
    </row>
    <row r="303" customHeight="1" spans="14:17">
      <c r="N303" s="20"/>
      <c r="O303" s="20"/>
      <c r="P303" s="15"/>
      <c r="Q303" s="22"/>
    </row>
    <row r="304" customHeight="1" spans="14:17">
      <c r="N304" s="20"/>
      <c r="O304" s="20"/>
      <c r="P304" s="15"/>
      <c r="Q304" s="22"/>
    </row>
    <row r="305" customHeight="1" spans="14:17">
      <c r="N305" s="20"/>
      <c r="O305" s="20"/>
      <c r="P305" s="15"/>
      <c r="Q305" s="22"/>
    </row>
    <row r="306" customHeight="1" spans="14:17">
      <c r="N306" s="20"/>
      <c r="O306" s="20"/>
      <c r="P306" s="15"/>
      <c r="Q306" s="22"/>
    </row>
    <row r="307" customHeight="1" spans="14:17">
      <c r="N307" s="20"/>
      <c r="O307" s="20"/>
      <c r="P307" s="15"/>
      <c r="Q307" s="22"/>
    </row>
    <row r="308" customHeight="1" spans="14:17">
      <c r="N308" s="20"/>
      <c r="O308" s="20"/>
      <c r="P308" s="15"/>
      <c r="Q308" s="22"/>
    </row>
    <row r="309" customHeight="1" spans="14:17">
      <c r="N309" s="20"/>
      <c r="O309" s="20"/>
      <c r="P309" s="15"/>
      <c r="Q309" s="22"/>
    </row>
    <row r="310" customHeight="1" spans="14:17">
      <c r="N310" s="20"/>
      <c r="O310" s="20"/>
      <c r="P310" s="15"/>
      <c r="Q310" s="22"/>
    </row>
    <row r="311" customHeight="1" spans="14:17">
      <c r="N311" s="20"/>
      <c r="O311" s="20"/>
      <c r="P311" s="15"/>
      <c r="Q311" s="22"/>
    </row>
    <row r="312" customHeight="1" spans="14:17">
      <c r="N312" s="20"/>
      <c r="O312" s="20"/>
      <c r="P312" s="15"/>
      <c r="Q312" s="22"/>
    </row>
    <row r="313" customHeight="1" spans="14:17">
      <c r="N313" s="20"/>
      <c r="O313" s="20"/>
      <c r="P313" s="15"/>
      <c r="Q313" s="22"/>
    </row>
    <row r="314" customHeight="1" spans="14:17">
      <c r="N314" s="20"/>
      <c r="O314" s="20"/>
      <c r="P314" s="15"/>
      <c r="Q314" s="22"/>
    </row>
    <row r="315" customHeight="1" spans="14:17">
      <c r="N315" s="20"/>
      <c r="O315" s="20"/>
      <c r="P315" s="15"/>
      <c r="Q315" s="22"/>
    </row>
    <row r="316" customHeight="1" spans="14:17">
      <c r="N316" s="20"/>
      <c r="O316" s="20"/>
      <c r="P316" s="15"/>
      <c r="Q316" s="22"/>
    </row>
    <row r="317" customHeight="1" spans="14:17">
      <c r="N317" s="20"/>
      <c r="O317" s="20"/>
      <c r="P317" s="15"/>
      <c r="Q317" s="22"/>
    </row>
    <row r="318" customHeight="1" spans="14:17">
      <c r="N318" s="20"/>
      <c r="O318" s="20"/>
      <c r="P318" s="15"/>
      <c r="Q318" s="22"/>
    </row>
    <row r="319" customHeight="1" spans="14:17">
      <c r="N319" s="20"/>
      <c r="O319" s="20"/>
      <c r="P319" s="15"/>
      <c r="Q319" s="22"/>
    </row>
    <row r="320" customHeight="1" spans="14:17">
      <c r="N320" s="20"/>
      <c r="O320" s="20"/>
      <c r="P320" s="15"/>
      <c r="Q320" s="22"/>
    </row>
    <row r="321" customHeight="1" spans="14:17">
      <c r="N321" s="20"/>
      <c r="O321" s="20"/>
      <c r="P321" s="15"/>
      <c r="Q321" s="22"/>
    </row>
    <row r="322" customHeight="1" spans="14:17">
      <c r="N322" s="20"/>
      <c r="O322" s="20"/>
      <c r="P322" s="15"/>
      <c r="Q322" s="22"/>
    </row>
    <row r="323" customHeight="1" spans="14:17">
      <c r="N323" s="20"/>
      <c r="O323" s="20"/>
      <c r="P323" s="15"/>
      <c r="Q323" s="22"/>
    </row>
    <row r="324" customHeight="1" spans="14:17">
      <c r="N324" s="20"/>
      <c r="O324" s="20"/>
      <c r="P324" s="15"/>
      <c r="Q324" s="22"/>
    </row>
    <row r="325" customHeight="1" spans="14:17">
      <c r="N325" s="20"/>
      <c r="O325" s="20"/>
      <c r="P325" s="15"/>
      <c r="Q325" s="22"/>
    </row>
    <row r="326" customHeight="1" spans="14:17">
      <c r="N326" s="20"/>
      <c r="O326" s="20"/>
      <c r="P326" s="15"/>
      <c r="Q326" s="22"/>
    </row>
    <row r="327" customHeight="1" spans="14:17">
      <c r="N327" s="20"/>
      <c r="O327" s="20"/>
      <c r="P327" s="15"/>
      <c r="Q327" s="22"/>
    </row>
    <row r="328" customHeight="1" spans="14:17">
      <c r="N328" s="20"/>
      <c r="O328" s="20"/>
      <c r="P328" s="15"/>
      <c r="Q328" s="22"/>
    </row>
    <row r="329" customHeight="1" spans="14:17">
      <c r="N329" s="20"/>
      <c r="O329" s="20"/>
      <c r="P329" s="15"/>
      <c r="Q329" s="22"/>
    </row>
    <row r="330" customHeight="1" spans="14:17">
      <c r="N330" s="20"/>
      <c r="O330" s="20"/>
      <c r="P330" s="15"/>
      <c r="Q330" s="22"/>
    </row>
    <row r="331" customHeight="1" spans="14:17">
      <c r="N331" s="20"/>
      <c r="O331" s="20"/>
      <c r="P331" s="15"/>
      <c r="Q331" s="22"/>
    </row>
    <row r="332" customHeight="1" spans="14:17">
      <c r="N332" s="20"/>
      <c r="O332" s="20"/>
      <c r="P332" s="15"/>
      <c r="Q332" s="22"/>
    </row>
    <row r="333" customHeight="1" spans="14:17">
      <c r="N333" s="20"/>
      <c r="O333" s="20"/>
      <c r="P333" s="15"/>
      <c r="Q333" s="22"/>
    </row>
    <row r="334" customHeight="1" spans="14:17">
      <c r="N334" s="20"/>
      <c r="O334" s="20"/>
      <c r="P334" s="15"/>
      <c r="Q334" s="22"/>
    </row>
    <row r="335" customHeight="1" spans="14:17">
      <c r="N335" s="20"/>
      <c r="O335" s="20"/>
      <c r="P335" s="15"/>
      <c r="Q335" s="22"/>
    </row>
    <row r="336" customHeight="1" spans="14:17">
      <c r="N336" s="20"/>
      <c r="O336" s="20"/>
      <c r="P336" s="15"/>
      <c r="Q336" s="22"/>
    </row>
    <row r="337" customHeight="1" spans="14:17">
      <c r="N337" s="20"/>
      <c r="O337" s="20"/>
      <c r="P337" s="15"/>
      <c r="Q337" s="22"/>
    </row>
    <row r="338" customHeight="1" spans="14:17">
      <c r="N338" s="20"/>
      <c r="O338" s="20"/>
      <c r="P338" s="15"/>
      <c r="Q338" s="22"/>
    </row>
    <row r="339" customHeight="1" spans="14:17">
      <c r="N339" s="20"/>
      <c r="O339" s="20"/>
      <c r="P339" s="15"/>
      <c r="Q339" s="22"/>
    </row>
    <row r="340" customHeight="1" spans="14:17">
      <c r="N340" s="20"/>
      <c r="O340" s="20"/>
      <c r="P340" s="15"/>
      <c r="Q340" s="22"/>
    </row>
    <row r="341" customHeight="1" spans="14:17">
      <c r="N341" s="20"/>
      <c r="O341" s="20"/>
      <c r="P341" s="15"/>
      <c r="Q341" s="22"/>
    </row>
    <row r="342" customHeight="1" spans="14:17">
      <c r="N342" s="20"/>
      <c r="O342" s="20"/>
      <c r="P342" s="15"/>
      <c r="Q342" s="22"/>
    </row>
    <row r="343" customHeight="1" spans="14:17">
      <c r="N343" s="20"/>
      <c r="O343" s="20"/>
      <c r="P343" s="15"/>
      <c r="Q343" s="22"/>
    </row>
    <row r="344" customHeight="1" spans="14:17">
      <c r="N344" s="20"/>
      <c r="O344" s="20"/>
      <c r="P344" s="15"/>
      <c r="Q344" s="22"/>
    </row>
    <row r="345" customHeight="1" spans="14:17">
      <c r="N345" s="20"/>
      <c r="O345" s="20"/>
      <c r="P345" s="15"/>
      <c r="Q345" s="22"/>
    </row>
    <row r="346" customHeight="1" spans="14:17">
      <c r="N346" s="20"/>
      <c r="O346" s="20"/>
      <c r="P346" s="15"/>
      <c r="Q346" s="22"/>
    </row>
    <row r="347" customHeight="1" spans="14:17">
      <c r="N347" s="20"/>
      <c r="O347" s="20"/>
      <c r="P347" s="15"/>
      <c r="Q347" s="22"/>
    </row>
    <row r="348" customHeight="1" spans="14:17">
      <c r="N348" s="20"/>
      <c r="O348" s="20"/>
      <c r="P348" s="15"/>
      <c r="Q348" s="22"/>
    </row>
    <row r="349" customHeight="1" spans="14:17">
      <c r="N349" s="20"/>
      <c r="O349" s="20"/>
      <c r="P349" s="15"/>
      <c r="Q349" s="22"/>
    </row>
    <row r="350" customHeight="1" spans="14:17">
      <c r="N350" s="20"/>
      <c r="O350" s="20"/>
      <c r="P350" s="15"/>
      <c r="Q350" s="22"/>
    </row>
    <row r="351" customHeight="1" spans="14:17">
      <c r="N351" s="20"/>
      <c r="O351" s="20"/>
      <c r="P351" s="15"/>
      <c r="Q351" s="22"/>
    </row>
    <row r="352" customHeight="1" spans="14:17">
      <c r="N352" s="20"/>
      <c r="O352" s="20"/>
      <c r="P352" s="15"/>
      <c r="Q352" s="22"/>
    </row>
    <row r="353" customHeight="1" spans="14:17">
      <c r="N353" s="20"/>
      <c r="O353" s="20"/>
      <c r="P353" s="15"/>
      <c r="Q353" s="22"/>
    </row>
    <row r="354" customHeight="1" spans="14:17">
      <c r="N354" s="20"/>
      <c r="O354" s="20"/>
      <c r="P354" s="15"/>
      <c r="Q354" s="22"/>
    </row>
    <row r="355" customHeight="1" spans="14:17">
      <c r="N355" s="20"/>
      <c r="O355" s="20"/>
      <c r="P355" s="15"/>
      <c r="Q355" s="22"/>
    </row>
    <row r="356" customHeight="1" spans="14:17">
      <c r="N356" s="20"/>
      <c r="O356" s="20"/>
      <c r="P356" s="15"/>
      <c r="Q356" s="22"/>
    </row>
    <row r="357" customHeight="1" spans="14:17">
      <c r="N357" s="20"/>
      <c r="O357" s="20"/>
      <c r="P357" s="15"/>
      <c r="Q357" s="22"/>
    </row>
    <row r="358" customHeight="1" spans="14:17">
      <c r="N358" s="20"/>
      <c r="O358" s="20"/>
      <c r="P358" s="15"/>
      <c r="Q358" s="22"/>
    </row>
    <row r="359" customHeight="1" spans="14:17">
      <c r="N359" s="20"/>
      <c r="O359" s="20"/>
      <c r="P359" s="15"/>
      <c r="Q359" s="22"/>
    </row>
    <row r="360" customHeight="1" spans="14:17">
      <c r="N360" s="20"/>
      <c r="O360" s="20"/>
      <c r="P360" s="15"/>
      <c r="Q360" s="22"/>
    </row>
    <row r="361" customHeight="1" spans="14:17">
      <c r="N361" s="20"/>
      <c r="O361" s="20"/>
      <c r="P361" s="15"/>
      <c r="Q361" s="22"/>
    </row>
    <row r="362" customHeight="1" spans="14:17">
      <c r="N362" s="20"/>
      <c r="O362" s="20"/>
      <c r="P362" s="15"/>
      <c r="Q362" s="22"/>
    </row>
    <row r="363" customHeight="1" spans="14:17">
      <c r="N363" s="20"/>
      <c r="O363" s="20"/>
      <c r="P363" s="15"/>
      <c r="Q363" s="22"/>
    </row>
    <row r="364" customHeight="1" spans="14:17">
      <c r="N364" s="20"/>
      <c r="O364" s="20"/>
      <c r="P364" s="15"/>
      <c r="Q364" s="22"/>
    </row>
    <row r="365" customHeight="1" spans="14:17">
      <c r="N365" s="20"/>
      <c r="O365" s="20"/>
      <c r="P365" s="15"/>
      <c r="Q365" s="22"/>
    </row>
    <row r="366" customHeight="1" spans="14:17">
      <c r="N366" s="20"/>
      <c r="O366" s="20"/>
      <c r="P366" s="15"/>
      <c r="Q366" s="22"/>
    </row>
    <row r="367" customHeight="1" spans="14:17">
      <c r="N367" s="20"/>
      <c r="O367" s="20"/>
      <c r="P367" s="15"/>
      <c r="Q367" s="22"/>
    </row>
    <row r="368" customHeight="1" spans="14:17">
      <c r="N368" s="20"/>
      <c r="O368" s="20"/>
      <c r="P368" s="15"/>
      <c r="Q368" s="22"/>
    </row>
    <row r="369" customHeight="1" spans="14:17">
      <c r="N369" s="20"/>
      <c r="O369" s="20"/>
      <c r="P369" s="15"/>
      <c r="Q369" s="22"/>
    </row>
    <row r="370" customHeight="1" spans="14:17">
      <c r="N370" s="20"/>
      <c r="O370" s="20"/>
      <c r="P370" s="15"/>
      <c r="Q370" s="22"/>
    </row>
    <row r="371" customHeight="1" spans="14:17">
      <c r="N371" s="20"/>
      <c r="O371" s="20"/>
      <c r="P371" s="15"/>
      <c r="Q371" s="22"/>
    </row>
    <row r="372" customHeight="1" spans="14:17">
      <c r="N372" s="20"/>
      <c r="O372" s="20"/>
      <c r="P372" s="15"/>
      <c r="Q372" s="22"/>
    </row>
    <row r="373" customHeight="1" spans="14:17">
      <c r="N373" s="20"/>
      <c r="O373" s="20"/>
      <c r="P373" s="15"/>
      <c r="Q373" s="22"/>
    </row>
    <row r="374" customHeight="1" spans="14:17">
      <c r="N374" s="20"/>
      <c r="O374" s="20"/>
      <c r="P374" s="15"/>
      <c r="Q374" s="22"/>
    </row>
    <row r="375" customHeight="1" spans="14:17">
      <c r="N375" s="20"/>
      <c r="O375" s="20"/>
      <c r="P375" s="15"/>
      <c r="Q375" s="22"/>
    </row>
    <row r="376" customHeight="1" spans="14:17">
      <c r="N376" s="20"/>
      <c r="O376" s="20"/>
      <c r="P376" s="15"/>
      <c r="Q376" s="22"/>
    </row>
    <row r="377" customHeight="1" spans="14:17">
      <c r="N377" s="20"/>
      <c r="O377" s="20"/>
      <c r="P377" s="15"/>
      <c r="Q377" s="22"/>
    </row>
    <row r="378" customHeight="1" spans="14:17">
      <c r="N378" s="20"/>
      <c r="O378" s="20"/>
      <c r="P378" s="15"/>
      <c r="Q378" s="22"/>
    </row>
    <row r="379" customHeight="1" spans="14:17">
      <c r="N379" s="20"/>
      <c r="O379" s="20"/>
      <c r="P379" s="15"/>
      <c r="Q379" s="22"/>
    </row>
    <row r="380" customHeight="1" spans="14:17">
      <c r="N380" s="20"/>
      <c r="O380" s="20"/>
      <c r="P380" s="15"/>
      <c r="Q380" s="22"/>
    </row>
    <row r="381" customHeight="1" spans="14:17">
      <c r="N381" s="20"/>
      <c r="O381" s="20"/>
      <c r="P381" s="15"/>
      <c r="Q381" s="22"/>
    </row>
    <row r="382" customHeight="1" spans="14:17">
      <c r="N382" s="20"/>
      <c r="O382" s="20"/>
      <c r="P382" s="15"/>
      <c r="Q382" s="22"/>
    </row>
    <row r="383" customHeight="1" spans="14:17">
      <c r="N383" s="20"/>
      <c r="O383" s="20"/>
      <c r="P383" s="15"/>
      <c r="Q383" s="22"/>
    </row>
    <row r="384" customHeight="1" spans="14:17">
      <c r="N384" s="20"/>
      <c r="O384" s="20"/>
      <c r="P384" s="15"/>
      <c r="Q384" s="22"/>
    </row>
    <row r="385" customHeight="1" spans="14:17">
      <c r="N385" s="20"/>
      <c r="O385" s="20"/>
      <c r="P385" s="15"/>
      <c r="Q385" s="22"/>
    </row>
    <row r="386" customHeight="1" spans="14:17">
      <c r="N386" s="20"/>
      <c r="O386" s="20"/>
      <c r="P386" s="15"/>
      <c r="Q386" s="22"/>
    </row>
    <row r="387" customHeight="1" spans="14:17">
      <c r="N387" s="20"/>
      <c r="O387" s="20"/>
      <c r="P387" s="15"/>
      <c r="Q387" s="22"/>
    </row>
    <row r="388" customHeight="1" spans="14:17">
      <c r="N388" s="20"/>
      <c r="O388" s="20"/>
      <c r="P388" s="15"/>
      <c r="Q388" s="22"/>
    </row>
    <row r="389" customHeight="1" spans="14:17">
      <c r="N389" s="20"/>
      <c r="O389" s="20"/>
      <c r="P389" s="15"/>
      <c r="Q389" s="22"/>
    </row>
    <row r="390" customHeight="1" spans="14:17">
      <c r="N390" s="20"/>
      <c r="O390" s="20"/>
      <c r="P390" s="15"/>
      <c r="Q390" s="22"/>
    </row>
    <row r="391" customHeight="1" spans="14:17">
      <c r="N391" s="20"/>
      <c r="O391" s="20"/>
      <c r="P391" s="15"/>
      <c r="Q391" s="22"/>
    </row>
    <row r="392" customHeight="1" spans="14:17">
      <c r="N392" s="20"/>
      <c r="O392" s="20"/>
      <c r="P392" s="15"/>
      <c r="Q392" s="22"/>
    </row>
    <row r="393" customHeight="1" spans="14:17">
      <c r="N393" s="20"/>
      <c r="O393" s="20"/>
      <c r="P393" s="15"/>
      <c r="Q393" s="22"/>
    </row>
    <row r="394" customHeight="1" spans="14:17">
      <c r="N394" s="20"/>
      <c r="O394" s="20"/>
      <c r="P394" s="15"/>
      <c r="Q394" s="22"/>
    </row>
    <row r="395" customHeight="1" spans="14:17">
      <c r="N395" s="20"/>
      <c r="O395" s="20"/>
      <c r="P395" s="15"/>
      <c r="Q395" s="22"/>
    </row>
    <row r="396" customHeight="1" spans="14:17">
      <c r="N396" s="20"/>
      <c r="O396" s="20"/>
      <c r="P396" s="15"/>
      <c r="Q396" s="22"/>
    </row>
    <row r="397" customHeight="1" spans="14:17">
      <c r="N397" s="20"/>
      <c r="O397" s="20"/>
      <c r="P397" s="15"/>
      <c r="Q397" s="22"/>
    </row>
    <row r="398" customHeight="1" spans="14:17">
      <c r="N398" s="20"/>
      <c r="O398" s="20"/>
      <c r="P398" s="15"/>
      <c r="Q398" s="22"/>
    </row>
    <row r="399" customHeight="1" spans="14:17">
      <c r="N399" s="20"/>
      <c r="O399" s="20"/>
      <c r="P399" s="15"/>
      <c r="Q399" s="22"/>
    </row>
    <row r="400" customHeight="1" spans="14:17">
      <c r="N400" s="20"/>
      <c r="O400" s="20"/>
      <c r="P400" s="15"/>
      <c r="Q400" s="22"/>
    </row>
    <row r="401" customHeight="1" spans="14:17">
      <c r="N401" s="20"/>
      <c r="O401" s="20"/>
      <c r="P401" s="15"/>
      <c r="Q401" s="22"/>
    </row>
    <row r="402" customHeight="1" spans="14:17">
      <c r="N402" s="20"/>
      <c r="O402" s="20"/>
      <c r="P402" s="15"/>
      <c r="Q402" s="22"/>
    </row>
    <row r="403" customHeight="1" spans="14:17">
      <c r="N403" s="20"/>
      <c r="O403" s="20"/>
      <c r="P403" s="15"/>
      <c r="Q403" s="22"/>
    </row>
    <row r="404" customHeight="1" spans="14:17">
      <c r="N404" s="20"/>
      <c r="O404" s="20"/>
      <c r="P404" s="15"/>
      <c r="Q404" s="22"/>
    </row>
    <row r="405" customHeight="1" spans="14:17">
      <c r="N405" s="20"/>
      <c r="O405" s="20"/>
      <c r="P405" s="15"/>
      <c r="Q405" s="22"/>
    </row>
    <row r="406" customHeight="1" spans="14:17">
      <c r="N406" s="20"/>
      <c r="O406" s="20"/>
      <c r="P406" s="15"/>
      <c r="Q406" s="22"/>
    </row>
    <row r="407" customHeight="1" spans="14:17">
      <c r="N407" s="20"/>
      <c r="O407" s="20"/>
      <c r="P407" s="15"/>
      <c r="Q407" s="22"/>
    </row>
    <row r="408" customHeight="1" spans="14:17">
      <c r="N408" s="20"/>
      <c r="O408" s="20"/>
      <c r="P408" s="15"/>
      <c r="Q408" s="22"/>
    </row>
    <row r="409" customHeight="1" spans="14:17">
      <c r="N409" s="20"/>
      <c r="O409" s="20"/>
      <c r="P409" s="15"/>
      <c r="Q409" s="22"/>
    </row>
    <row r="410" customHeight="1" spans="14:17">
      <c r="N410" s="20"/>
      <c r="O410" s="20"/>
      <c r="P410" s="15"/>
      <c r="Q410" s="22"/>
    </row>
    <row r="411" customHeight="1" spans="14:17">
      <c r="N411" s="20"/>
      <c r="O411" s="20"/>
      <c r="P411" s="15"/>
      <c r="Q411" s="22"/>
    </row>
    <row r="412" customHeight="1" spans="14:17">
      <c r="N412" s="20"/>
      <c r="O412" s="20"/>
      <c r="P412" s="15"/>
      <c r="Q412" s="22"/>
    </row>
    <row r="413" customHeight="1" spans="14:17">
      <c r="N413" s="20"/>
      <c r="O413" s="20"/>
      <c r="P413" s="15"/>
      <c r="Q413" s="22"/>
    </row>
    <row r="414" customHeight="1" spans="14:17">
      <c r="N414" s="20"/>
      <c r="O414" s="20"/>
      <c r="P414" s="15"/>
      <c r="Q414" s="22"/>
    </row>
    <row r="415" customHeight="1" spans="14:17">
      <c r="N415" s="20"/>
      <c r="O415" s="20"/>
      <c r="P415" s="15"/>
      <c r="Q415" s="22"/>
    </row>
    <row r="416" customHeight="1" spans="14:17">
      <c r="N416" s="20"/>
      <c r="O416" s="20"/>
      <c r="P416" s="15"/>
      <c r="Q416" s="22"/>
    </row>
    <row r="417" customHeight="1" spans="14:17">
      <c r="N417" s="20"/>
      <c r="O417" s="20"/>
      <c r="P417" s="15"/>
      <c r="Q417" s="22"/>
    </row>
    <row r="418" customHeight="1" spans="14:17">
      <c r="N418" s="20"/>
      <c r="O418" s="20"/>
      <c r="P418" s="15"/>
      <c r="Q418" s="22"/>
    </row>
    <row r="419" customHeight="1" spans="14:17">
      <c r="N419" s="20"/>
      <c r="O419" s="20"/>
      <c r="P419" s="15"/>
      <c r="Q419" s="22"/>
    </row>
    <row r="420" customHeight="1" spans="14:17">
      <c r="N420" s="20"/>
      <c r="O420" s="20"/>
      <c r="P420" s="15"/>
      <c r="Q420" s="22"/>
    </row>
    <row r="421" customHeight="1" spans="14:17">
      <c r="N421" s="20"/>
      <c r="O421" s="20"/>
      <c r="P421" s="15"/>
      <c r="Q421" s="22"/>
    </row>
    <row r="422" customHeight="1" spans="14:17">
      <c r="N422" s="20"/>
      <c r="O422" s="20"/>
      <c r="P422" s="15"/>
      <c r="Q422" s="22"/>
    </row>
    <row r="423" customHeight="1" spans="14:17">
      <c r="N423" s="20"/>
      <c r="O423" s="20"/>
      <c r="P423" s="15"/>
      <c r="Q423" s="22"/>
    </row>
    <row r="424" customHeight="1" spans="14:17">
      <c r="N424" s="20"/>
      <c r="O424" s="20"/>
      <c r="P424" s="15"/>
      <c r="Q424" s="22"/>
    </row>
    <row r="425" customHeight="1" spans="14:17">
      <c r="N425" s="20"/>
      <c r="O425" s="20"/>
      <c r="P425" s="15"/>
      <c r="Q425" s="22"/>
    </row>
    <row r="426" customHeight="1" spans="14:17">
      <c r="N426" s="20"/>
      <c r="O426" s="20"/>
      <c r="P426" s="15"/>
      <c r="Q426" s="22"/>
    </row>
    <row r="427" customHeight="1" spans="14:17">
      <c r="N427" s="20"/>
      <c r="O427" s="20"/>
      <c r="P427" s="15"/>
      <c r="Q427" s="22"/>
    </row>
    <row r="428" customHeight="1" spans="14:17">
      <c r="N428" s="20"/>
      <c r="O428" s="20"/>
      <c r="P428" s="15"/>
      <c r="Q428" s="22"/>
    </row>
    <row r="429" customHeight="1" spans="14:17">
      <c r="N429" s="20"/>
      <c r="O429" s="20"/>
      <c r="P429" s="15"/>
      <c r="Q429" s="22"/>
    </row>
    <row r="430" customHeight="1" spans="14:17">
      <c r="N430" s="20"/>
      <c r="O430" s="20"/>
      <c r="P430" s="15"/>
      <c r="Q430" s="22"/>
    </row>
    <row r="431" customHeight="1" spans="14:17">
      <c r="N431" s="20"/>
      <c r="O431" s="20"/>
      <c r="P431" s="15"/>
      <c r="Q431" s="22"/>
    </row>
    <row r="432" customHeight="1" spans="14:17">
      <c r="N432" s="20"/>
      <c r="O432" s="20"/>
      <c r="P432" s="15"/>
      <c r="Q432" s="22"/>
    </row>
    <row r="433" customHeight="1" spans="14:17">
      <c r="N433" s="20"/>
      <c r="O433" s="20"/>
      <c r="P433" s="15"/>
      <c r="Q433" s="22"/>
    </row>
    <row r="434" customHeight="1" spans="14:17">
      <c r="N434" s="20"/>
      <c r="O434" s="20"/>
      <c r="P434" s="15"/>
      <c r="Q434" s="22"/>
    </row>
    <row r="435" customHeight="1" spans="14:17">
      <c r="N435" s="20"/>
      <c r="O435" s="20"/>
      <c r="P435" s="15"/>
      <c r="Q435" s="22"/>
    </row>
    <row r="436" customHeight="1" spans="14:17">
      <c r="N436" s="20"/>
      <c r="O436" s="20"/>
      <c r="P436" s="15"/>
      <c r="Q436" s="22"/>
    </row>
    <row r="437" customHeight="1" spans="14:17">
      <c r="N437" s="20"/>
      <c r="O437" s="20"/>
      <c r="P437" s="15"/>
      <c r="Q437" s="22"/>
    </row>
    <row r="438" customHeight="1" spans="14:17">
      <c r="N438" s="20"/>
      <c r="O438" s="20"/>
      <c r="P438" s="15"/>
      <c r="Q438" s="22"/>
    </row>
    <row r="439" customHeight="1" spans="14:17">
      <c r="N439" s="20"/>
      <c r="O439" s="20"/>
      <c r="P439" s="15"/>
      <c r="Q439" s="22"/>
    </row>
    <row r="440" customHeight="1" spans="14:17">
      <c r="N440" s="20"/>
      <c r="O440" s="20"/>
      <c r="P440" s="15"/>
      <c r="Q440" s="22"/>
    </row>
    <row r="441" customHeight="1" spans="14:17">
      <c r="N441" s="20"/>
      <c r="O441" s="20"/>
      <c r="P441" s="15"/>
      <c r="Q441" s="22"/>
    </row>
    <row r="442" customHeight="1" spans="14:17">
      <c r="N442" s="20"/>
      <c r="O442" s="20"/>
      <c r="P442" s="15"/>
      <c r="Q442" s="22"/>
    </row>
    <row r="443" customHeight="1" spans="14:17">
      <c r="N443" s="20"/>
      <c r="O443" s="20"/>
      <c r="P443" s="15"/>
      <c r="Q443" s="22"/>
    </row>
    <row r="444" customHeight="1" spans="14:17">
      <c r="N444" s="20"/>
      <c r="O444" s="20"/>
      <c r="P444" s="15"/>
      <c r="Q444" s="22"/>
    </row>
    <row r="445" customHeight="1" spans="14:17">
      <c r="N445" s="20"/>
      <c r="O445" s="20"/>
      <c r="P445" s="15"/>
      <c r="Q445" s="22"/>
    </row>
    <row r="446" customHeight="1" spans="14:17">
      <c r="N446" s="20"/>
      <c r="O446" s="20"/>
      <c r="P446" s="15"/>
      <c r="Q446" s="22"/>
    </row>
    <row r="447" customHeight="1" spans="14:17">
      <c r="N447" s="20"/>
      <c r="O447" s="20"/>
      <c r="P447" s="15"/>
      <c r="Q447" s="22"/>
    </row>
    <row r="448" customHeight="1" spans="14:17">
      <c r="N448" s="20"/>
      <c r="O448" s="20"/>
      <c r="P448" s="15"/>
      <c r="Q448" s="22"/>
    </row>
    <row r="449" customHeight="1" spans="14:17">
      <c r="N449" s="20"/>
      <c r="O449" s="20"/>
      <c r="P449" s="15"/>
      <c r="Q449" s="22"/>
    </row>
    <row r="450" customHeight="1" spans="14:17">
      <c r="N450" s="20"/>
      <c r="O450" s="20"/>
      <c r="P450" s="15"/>
      <c r="Q450" s="22"/>
    </row>
    <row r="451" customHeight="1" spans="14:17">
      <c r="N451" s="20"/>
      <c r="O451" s="20"/>
      <c r="P451" s="15"/>
      <c r="Q451" s="22"/>
    </row>
    <row r="452" customHeight="1" spans="14:17">
      <c r="N452" s="20"/>
      <c r="O452" s="20"/>
      <c r="P452" s="15"/>
      <c r="Q452" s="22"/>
    </row>
    <row r="453" customHeight="1" spans="14:17">
      <c r="N453" s="20"/>
      <c r="O453" s="20"/>
      <c r="P453" s="15"/>
      <c r="Q453" s="22"/>
    </row>
    <row r="454" customHeight="1" spans="14:17">
      <c r="N454" s="20"/>
      <c r="O454" s="20"/>
      <c r="P454" s="15"/>
      <c r="Q454" s="22"/>
    </row>
    <row r="455" customHeight="1" spans="14:17">
      <c r="N455" s="20"/>
      <c r="O455" s="20"/>
      <c r="P455" s="15"/>
      <c r="Q455" s="22"/>
    </row>
    <row r="456" customHeight="1" spans="14:17">
      <c r="N456" s="20"/>
      <c r="O456" s="20"/>
      <c r="P456" s="15"/>
      <c r="Q456" s="22"/>
    </row>
    <row r="457" customHeight="1" spans="14:17">
      <c r="N457" s="20"/>
      <c r="O457" s="20"/>
      <c r="P457" s="15"/>
      <c r="Q457" s="22"/>
    </row>
    <row r="458" customHeight="1" spans="14:17">
      <c r="N458" s="20"/>
      <c r="O458" s="20"/>
      <c r="P458" s="15"/>
      <c r="Q458" s="22"/>
    </row>
    <row r="459" customHeight="1" spans="14:17">
      <c r="N459" s="20"/>
      <c r="O459" s="20"/>
      <c r="P459" s="15"/>
      <c r="Q459" s="22"/>
    </row>
    <row r="460" customHeight="1" spans="14:17">
      <c r="N460" s="20"/>
      <c r="O460" s="20"/>
      <c r="P460" s="15"/>
      <c r="Q460" s="22"/>
    </row>
    <row r="461" customHeight="1" spans="14:17">
      <c r="N461" s="20"/>
      <c r="O461" s="20"/>
      <c r="P461" s="15"/>
      <c r="Q461" s="22"/>
    </row>
    <row r="462" customHeight="1" spans="14:17">
      <c r="N462" s="20"/>
      <c r="O462" s="20"/>
      <c r="P462" s="15"/>
      <c r="Q462" s="22"/>
    </row>
    <row r="463" customHeight="1" spans="14:17">
      <c r="N463" s="20"/>
      <c r="O463" s="20"/>
      <c r="P463" s="15"/>
      <c r="Q463" s="22"/>
    </row>
    <row r="464" customHeight="1" spans="14:17">
      <c r="N464" s="20"/>
      <c r="O464" s="20"/>
      <c r="P464" s="15"/>
      <c r="Q464" s="22"/>
    </row>
    <row r="465" customHeight="1" spans="14:17">
      <c r="N465" s="20"/>
      <c r="O465" s="20"/>
      <c r="P465" s="15"/>
      <c r="Q465" s="22"/>
    </row>
    <row r="466" customHeight="1" spans="14:17">
      <c r="N466" s="20"/>
      <c r="O466" s="20"/>
      <c r="P466" s="15"/>
      <c r="Q466" s="22"/>
    </row>
    <row r="467" customHeight="1" spans="14:17">
      <c r="N467" s="20"/>
      <c r="O467" s="20"/>
      <c r="P467" s="15"/>
      <c r="Q467" s="22"/>
    </row>
    <row r="468" customHeight="1" spans="14:17">
      <c r="N468" s="20"/>
      <c r="O468" s="20"/>
      <c r="P468" s="15"/>
      <c r="Q468" s="22"/>
    </row>
    <row r="469" customHeight="1" spans="14:17">
      <c r="N469" s="20"/>
      <c r="O469" s="20"/>
      <c r="P469" s="15"/>
      <c r="Q469" s="22"/>
    </row>
    <row r="470" customHeight="1" spans="14:17">
      <c r="N470" s="20"/>
      <c r="O470" s="20"/>
      <c r="P470" s="15"/>
      <c r="Q470" s="22"/>
    </row>
    <row r="471" customHeight="1" spans="14:17">
      <c r="N471" s="20"/>
      <c r="O471" s="20"/>
      <c r="P471" s="15"/>
      <c r="Q471" s="22"/>
    </row>
    <row r="472" customHeight="1" spans="14:17">
      <c r="N472" s="20"/>
      <c r="O472" s="20"/>
      <c r="P472" s="15"/>
      <c r="Q472" s="22"/>
    </row>
    <row r="473" customHeight="1" spans="14:17">
      <c r="N473" s="20"/>
      <c r="O473" s="20"/>
      <c r="P473" s="15"/>
      <c r="Q473" s="22"/>
    </row>
    <row r="474" customHeight="1" spans="14:17">
      <c r="N474" s="20"/>
      <c r="O474" s="20"/>
      <c r="P474" s="15"/>
      <c r="Q474" s="22"/>
    </row>
    <row r="475" customHeight="1" spans="14:17">
      <c r="N475" s="20"/>
      <c r="O475" s="20"/>
      <c r="P475" s="15"/>
      <c r="Q475" s="22"/>
    </row>
    <row r="476" customHeight="1" spans="14:17">
      <c r="N476" s="20"/>
      <c r="O476" s="20"/>
      <c r="P476" s="15"/>
      <c r="Q476" s="22"/>
    </row>
    <row r="477" customHeight="1" spans="14:17">
      <c r="N477" s="20"/>
      <c r="O477" s="20"/>
      <c r="P477" s="15"/>
      <c r="Q477" s="22"/>
    </row>
    <row r="478" customHeight="1" spans="14:17">
      <c r="N478" s="20"/>
      <c r="O478" s="20"/>
      <c r="P478" s="15"/>
      <c r="Q478" s="22"/>
    </row>
    <row r="479" customHeight="1" spans="14:17">
      <c r="N479" s="20"/>
      <c r="O479" s="20"/>
      <c r="P479" s="15"/>
      <c r="Q479" s="22"/>
    </row>
    <row r="480" customHeight="1" spans="14:17">
      <c r="N480" s="20"/>
      <c r="O480" s="20"/>
      <c r="P480" s="15"/>
      <c r="Q480" s="22"/>
    </row>
    <row r="481" customHeight="1" spans="14:17">
      <c r="N481" s="20"/>
      <c r="O481" s="20"/>
      <c r="P481" s="15"/>
      <c r="Q481" s="22"/>
    </row>
    <row r="482" customHeight="1" spans="14:17">
      <c r="N482" s="20"/>
      <c r="O482" s="20"/>
      <c r="P482" s="15"/>
      <c r="Q482" s="22"/>
    </row>
    <row r="483" customHeight="1" spans="14:17">
      <c r="N483" s="20"/>
      <c r="O483" s="20"/>
      <c r="P483" s="15"/>
      <c r="Q483" s="22"/>
    </row>
    <row r="484" customHeight="1" spans="14:17">
      <c r="N484" s="20"/>
      <c r="O484" s="20"/>
      <c r="P484" s="15"/>
      <c r="Q484" s="22"/>
    </row>
    <row r="485" customHeight="1" spans="14:17">
      <c r="N485" s="20"/>
      <c r="O485" s="20"/>
      <c r="P485" s="15"/>
      <c r="Q485" s="22"/>
    </row>
    <row r="486" customHeight="1" spans="14:17">
      <c r="N486" s="20"/>
      <c r="O486" s="20"/>
      <c r="P486" s="15"/>
      <c r="Q486" s="22"/>
    </row>
    <row r="487" customHeight="1" spans="14:17">
      <c r="N487" s="20"/>
      <c r="O487" s="20"/>
      <c r="P487" s="15"/>
      <c r="Q487" s="22"/>
    </row>
    <row r="488" customHeight="1" spans="14:17">
      <c r="N488" s="20"/>
      <c r="O488" s="20"/>
      <c r="P488" s="15"/>
      <c r="Q488" s="22"/>
    </row>
    <row r="489" customHeight="1" spans="14:17">
      <c r="N489" s="20"/>
      <c r="O489" s="20"/>
      <c r="P489" s="15"/>
      <c r="Q489" s="22"/>
    </row>
    <row r="490" customHeight="1" spans="14:17">
      <c r="N490" s="20"/>
      <c r="O490" s="20"/>
      <c r="P490" s="15"/>
      <c r="Q490" s="22"/>
    </row>
    <row r="491" customHeight="1" spans="14:17">
      <c r="N491" s="20"/>
      <c r="O491" s="20"/>
      <c r="P491" s="15"/>
      <c r="Q491" s="22"/>
    </row>
    <row r="492" customHeight="1" spans="14:17">
      <c r="N492" s="20"/>
      <c r="O492" s="20"/>
      <c r="P492" s="15"/>
      <c r="Q492" s="22"/>
    </row>
    <row r="493" customHeight="1" spans="14:17">
      <c r="N493" s="20"/>
      <c r="O493" s="20"/>
      <c r="P493" s="15"/>
      <c r="Q493" s="22"/>
    </row>
    <row r="494" customHeight="1" spans="14:17">
      <c r="N494" s="20"/>
      <c r="O494" s="20"/>
      <c r="P494" s="15"/>
      <c r="Q494" s="22"/>
    </row>
    <row r="495" customHeight="1" spans="14:17">
      <c r="N495" s="20"/>
      <c r="O495" s="20"/>
      <c r="P495" s="15"/>
      <c r="Q495" s="22"/>
    </row>
    <row r="496" customHeight="1" spans="14:17">
      <c r="N496" s="20"/>
      <c r="O496" s="20"/>
      <c r="P496" s="15"/>
      <c r="Q496" s="22"/>
    </row>
    <row r="497" customHeight="1" spans="14:17">
      <c r="N497" s="20"/>
      <c r="O497" s="20"/>
      <c r="P497" s="15"/>
      <c r="Q497" s="22"/>
    </row>
    <row r="498" customHeight="1" spans="14:17">
      <c r="N498" s="20"/>
      <c r="O498" s="20"/>
      <c r="P498" s="15"/>
      <c r="Q498" s="22"/>
    </row>
    <row r="499" customHeight="1" spans="14:17">
      <c r="N499" s="20"/>
      <c r="O499" s="20"/>
      <c r="P499" s="15"/>
      <c r="Q499" s="22"/>
    </row>
    <row r="500" customHeight="1" spans="14:17">
      <c r="N500" s="20"/>
      <c r="O500" s="20"/>
      <c r="P500" s="15"/>
      <c r="Q500" s="22"/>
    </row>
    <row r="501" customHeight="1" spans="14:17">
      <c r="N501" s="20"/>
      <c r="O501" s="20"/>
      <c r="P501" s="15"/>
      <c r="Q501" s="22"/>
    </row>
    <row r="502" customHeight="1" spans="14:17">
      <c r="N502" s="20"/>
      <c r="O502" s="20"/>
      <c r="P502" s="15"/>
      <c r="Q502" s="22"/>
    </row>
    <row r="503" customHeight="1" spans="14:17">
      <c r="N503" s="20"/>
      <c r="O503" s="20"/>
      <c r="P503" s="15"/>
      <c r="Q503" s="22"/>
    </row>
    <row r="504" customHeight="1" spans="14:17">
      <c r="N504" s="20"/>
      <c r="O504" s="20"/>
      <c r="P504" s="15"/>
      <c r="Q504" s="22"/>
    </row>
    <row r="505" customHeight="1" spans="14:17">
      <c r="N505" s="20"/>
      <c r="O505" s="20"/>
      <c r="P505" s="15"/>
      <c r="Q505" s="22"/>
    </row>
    <row r="506" customHeight="1" spans="14:17">
      <c r="N506" s="20"/>
      <c r="O506" s="20"/>
      <c r="P506" s="15"/>
      <c r="Q506" s="22"/>
    </row>
    <row r="507" customHeight="1" spans="14:17">
      <c r="N507" s="20"/>
      <c r="O507" s="20"/>
      <c r="P507" s="15"/>
      <c r="Q507" s="22"/>
    </row>
    <row r="508" customHeight="1" spans="14:17">
      <c r="N508" s="20"/>
      <c r="O508" s="20"/>
      <c r="P508" s="15"/>
      <c r="Q508" s="22"/>
    </row>
    <row r="509" customHeight="1" spans="14:17">
      <c r="N509" s="20"/>
      <c r="O509" s="20"/>
      <c r="P509" s="15"/>
      <c r="Q509" s="22"/>
    </row>
    <row r="510" customHeight="1" spans="14:17">
      <c r="N510" s="20"/>
      <c r="O510" s="20"/>
      <c r="P510" s="15"/>
      <c r="Q510" s="22"/>
    </row>
    <row r="511" customHeight="1" spans="14:17">
      <c r="N511" s="20"/>
      <c r="O511" s="20"/>
      <c r="P511" s="15"/>
      <c r="Q511" s="22"/>
    </row>
    <row r="512" customHeight="1" spans="14:17">
      <c r="N512" s="20"/>
      <c r="O512" s="20"/>
      <c r="P512" s="15"/>
      <c r="Q512" s="22"/>
    </row>
    <row r="513" customHeight="1" spans="14:17">
      <c r="N513" s="20"/>
      <c r="O513" s="20"/>
      <c r="P513" s="15"/>
      <c r="Q513" s="22"/>
    </row>
    <row r="514" customHeight="1" spans="14:17">
      <c r="N514" s="20"/>
      <c r="O514" s="20"/>
      <c r="P514" s="15"/>
      <c r="Q514" s="22"/>
    </row>
    <row r="515" customHeight="1" spans="14:17">
      <c r="N515" s="20"/>
      <c r="O515" s="20"/>
      <c r="P515" s="15"/>
      <c r="Q515" s="22"/>
    </row>
    <row r="516" customHeight="1" spans="14:17">
      <c r="N516" s="20"/>
      <c r="O516" s="20"/>
      <c r="P516" s="15"/>
      <c r="Q516" s="22"/>
    </row>
    <row r="517" customHeight="1" spans="14:17">
      <c r="N517" s="20"/>
      <c r="O517" s="20"/>
      <c r="P517" s="15"/>
      <c r="Q517" s="22"/>
    </row>
    <row r="518" customHeight="1" spans="14:17">
      <c r="N518" s="20"/>
      <c r="O518" s="20"/>
      <c r="P518" s="15"/>
      <c r="Q518" s="22"/>
    </row>
    <row r="519" customHeight="1" spans="14:17">
      <c r="N519" s="20"/>
      <c r="O519" s="20"/>
      <c r="P519" s="15"/>
      <c r="Q519" s="22"/>
    </row>
    <row r="520" customHeight="1" spans="14:17">
      <c r="N520" s="20"/>
      <c r="O520" s="20"/>
      <c r="P520" s="15"/>
      <c r="Q520" s="22"/>
    </row>
    <row r="521" customHeight="1" spans="14:17">
      <c r="N521" s="20"/>
      <c r="O521" s="20"/>
      <c r="P521" s="15"/>
      <c r="Q521" s="22"/>
    </row>
    <row r="522" customHeight="1" spans="14:17">
      <c r="N522" s="20"/>
      <c r="O522" s="20"/>
      <c r="P522" s="15"/>
      <c r="Q522" s="22"/>
    </row>
    <row r="523" customHeight="1" spans="14:17">
      <c r="N523" s="20"/>
      <c r="O523" s="20"/>
      <c r="P523" s="15"/>
      <c r="Q523" s="22"/>
    </row>
    <row r="524" customHeight="1" spans="14:17">
      <c r="N524" s="20"/>
      <c r="O524" s="20"/>
      <c r="P524" s="15"/>
      <c r="Q524" s="22"/>
    </row>
    <row r="525" customHeight="1" spans="14:17">
      <c r="N525" s="20"/>
      <c r="O525" s="20"/>
      <c r="P525" s="15"/>
      <c r="Q525" s="22"/>
    </row>
    <row r="526" customHeight="1" spans="14:17">
      <c r="N526" s="20"/>
      <c r="O526" s="20"/>
      <c r="P526" s="15"/>
      <c r="Q526" s="22"/>
    </row>
    <row r="527" customHeight="1" spans="14:17">
      <c r="N527" s="20"/>
      <c r="O527" s="20"/>
      <c r="P527" s="15"/>
      <c r="Q527" s="22"/>
    </row>
    <row r="528" customHeight="1" spans="14:17">
      <c r="N528" s="20"/>
      <c r="O528" s="20"/>
      <c r="P528" s="15"/>
      <c r="Q528" s="22"/>
    </row>
    <row r="529" customHeight="1" spans="14:17">
      <c r="N529" s="20"/>
      <c r="O529" s="20"/>
      <c r="P529" s="15"/>
      <c r="Q529" s="22"/>
    </row>
    <row r="530" customHeight="1" spans="14:17">
      <c r="N530" s="20"/>
      <c r="O530" s="20"/>
      <c r="P530" s="15"/>
      <c r="Q530" s="22"/>
    </row>
    <row r="531" customHeight="1" spans="14:17">
      <c r="N531" s="20"/>
      <c r="O531" s="20"/>
      <c r="P531" s="15"/>
      <c r="Q531" s="22"/>
    </row>
    <row r="532" customHeight="1" spans="14:17">
      <c r="N532" s="20"/>
      <c r="O532" s="20"/>
      <c r="P532" s="15"/>
      <c r="Q532" s="22"/>
    </row>
    <row r="533" customHeight="1" spans="14:17">
      <c r="N533" s="20"/>
      <c r="O533" s="20"/>
      <c r="P533" s="15"/>
      <c r="Q533" s="22"/>
    </row>
    <row r="534" customHeight="1" spans="14:17">
      <c r="N534" s="20"/>
      <c r="O534" s="20"/>
      <c r="P534" s="15"/>
      <c r="Q534" s="22"/>
    </row>
    <row r="535" customHeight="1" spans="14:17">
      <c r="N535" s="20"/>
      <c r="O535" s="20"/>
      <c r="P535" s="15"/>
      <c r="Q535" s="22"/>
    </row>
    <row r="536" customHeight="1" spans="14:17">
      <c r="N536" s="20"/>
      <c r="O536" s="20"/>
      <c r="P536" s="15"/>
      <c r="Q536" s="22"/>
    </row>
    <row r="537" customHeight="1" spans="14:17">
      <c r="N537" s="20"/>
      <c r="O537" s="20"/>
      <c r="P537" s="15"/>
      <c r="Q537" s="22"/>
    </row>
    <row r="538" customHeight="1" spans="14:17">
      <c r="N538" s="20"/>
      <c r="O538" s="20"/>
      <c r="P538" s="15"/>
      <c r="Q538" s="22"/>
    </row>
    <row r="539" customHeight="1" spans="14:17">
      <c r="N539" s="20"/>
      <c r="O539" s="20"/>
      <c r="P539" s="15"/>
      <c r="Q539" s="22"/>
    </row>
    <row r="540" customHeight="1" spans="14:17">
      <c r="N540" s="20"/>
      <c r="O540" s="20"/>
      <c r="P540" s="15"/>
      <c r="Q540" s="22"/>
    </row>
    <row r="541" customHeight="1" spans="14:17">
      <c r="N541" s="20"/>
      <c r="O541" s="20"/>
      <c r="P541" s="15"/>
      <c r="Q541" s="22"/>
    </row>
    <row r="542" customHeight="1" spans="14:17">
      <c r="N542" s="20"/>
      <c r="O542" s="20"/>
      <c r="P542" s="15"/>
      <c r="Q542" s="22"/>
    </row>
    <row r="543" customHeight="1" spans="14:17">
      <c r="N543" s="20"/>
      <c r="O543" s="20"/>
      <c r="P543" s="15"/>
      <c r="Q543" s="22"/>
    </row>
    <row r="544" customHeight="1" spans="14:17">
      <c r="N544" s="20"/>
      <c r="O544" s="20"/>
      <c r="P544" s="15"/>
      <c r="Q544" s="22"/>
    </row>
    <row r="545" customHeight="1" spans="14:17">
      <c r="N545" s="20"/>
      <c r="O545" s="20"/>
      <c r="P545" s="15"/>
      <c r="Q545" s="22"/>
    </row>
    <row r="546" customHeight="1" spans="14:17">
      <c r="N546" s="20"/>
      <c r="O546" s="20"/>
      <c r="P546" s="15"/>
      <c r="Q546" s="22"/>
    </row>
    <row r="547" customHeight="1" spans="14:17">
      <c r="N547" s="20"/>
      <c r="O547" s="20"/>
      <c r="P547" s="15"/>
      <c r="Q547" s="22"/>
    </row>
    <row r="548" customHeight="1" spans="14:17">
      <c r="N548" s="20"/>
      <c r="O548" s="20"/>
      <c r="P548" s="15"/>
      <c r="Q548" s="22"/>
    </row>
    <row r="549" customHeight="1" spans="14:17">
      <c r="N549" s="20"/>
      <c r="O549" s="20"/>
      <c r="P549" s="15"/>
      <c r="Q549" s="22"/>
    </row>
    <row r="550" customHeight="1" spans="14:17">
      <c r="N550" s="20"/>
      <c r="O550" s="20"/>
      <c r="P550" s="15"/>
      <c r="Q550" s="22"/>
    </row>
    <row r="551" customHeight="1" spans="14:17">
      <c r="N551" s="20"/>
      <c r="O551" s="20"/>
      <c r="P551" s="15"/>
      <c r="Q551" s="22"/>
    </row>
    <row r="552" customHeight="1" spans="14:17">
      <c r="N552" s="20"/>
      <c r="O552" s="20"/>
      <c r="P552" s="15"/>
      <c r="Q552" s="22"/>
    </row>
    <row r="553" customHeight="1" spans="14:17">
      <c r="N553" s="20"/>
      <c r="O553" s="20"/>
      <c r="P553" s="15"/>
      <c r="Q553" s="22"/>
    </row>
    <row r="554" customHeight="1" spans="14:17">
      <c r="N554" s="20"/>
      <c r="O554" s="20"/>
      <c r="P554" s="15"/>
      <c r="Q554" s="22"/>
    </row>
    <row r="555" customHeight="1" spans="14:17">
      <c r="N555" s="20"/>
      <c r="O555" s="20"/>
      <c r="P555" s="15"/>
      <c r="Q555" s="22"/>
    </row>
    <row r="556" customHeight="1" spans="14:17">
      <c r="N556" s="20"/>
      <c r="O556" s="20"/>
      <c r="P556" s="15"/>
      <c r="Q556" s="22"/>
    </row>
    <row r="557" customHeight="1" spans="14:17">
      <c r="N557" s="20"/>
      <c r="O557" s="20"/>
      <c r="P557" s="15"/>
      <c r="Q557" s="22"/>
    </row>
    <row r="558" customHeight="1" spans="14:17">
      <c r="N558" s="20"/>
      <c r="O558" s="20"/>
      <c r="P558" s="15"/>
      <c r="Q558" s="22"/>
    </row>
    <row r="559" customHeight="1" spans="14:17">
      <c r="N559" s="20"/>
      <c r="O559" s="20"/>
      <c r="P559" s="15"/>
      <c r="Q559" s="22"/>
    </row>
    <row r="560" customHeight="1" spans="14:17">
      <c r="N560" s="20"/>
      <c r="O560" s="20"/>
      <c r="P560" s="15"/>
      <c r="Q560" s="22"/>
    </row>
    <row r="561" customHeight="1" spans="14:17">
      <c r="N561" s="20"/>
      <c r="O561" s="20"/>
      <c r="P561" s="15"/>
      <c r="Q561" s="22"/>
    </row>
    <row r="562" customHeight="1" spans="14:17">
      <c r="N562" s="20"/>
      <c r="O562" s="20"/>
      <c r="P562" s="15"/>
      <c r="Q562" s="22"/>
    </row>
    <row r="563" customHeight="1" spans="14:17">
      <c r="N563" s="20"/>
      <c r="O563" s="20"/>
      <c r="P563" s="15"/>
      <c r="Q563" s="22"/>
    </row>
    <row r="564" customHeight="1" spans="14:17">
      <c r="N564" s="20"/>
      <c r="O564" s="20"/>
      <c r="P564" s="15"/>
      <c r="Q564" s="22"/>
    </row>
    <row r="565" customHeight="1" spans="14:17">
      <c r="N565" s="20"/>
      <c r="O565" s="20"/>
      <c r="P565" s="15"/>
      <c r="Q565" s="22"/>
    </row>
    <row r="566" customHeight="1" spans="14:17">
      <c r="N566" s="20"/>
      <c r="O566" s="20"/>
      <c r="P566" s="15"/>
      <c r="Q566" s="22"/>
    </row>
    <row r="567" customHeight="1" spans="14:17">
      <c r="N567" s="20"/>
      <c r="O567" s="20"/>
      <c r="P567" s="15"/>
      <c r="Q567" s="22"/>
    </row>
    <row r="568" customHeight="1" spans="14:17">
      <c r="N568" s="20"/>
      <c r="O568" s="20"/>
      <c r="P568" s="15"/>
      <c r="Q568" s="22"/>
    </row>
    <row r="569" customHeight="1" spans="14:17">
      <c r="N569" s="20"/>
      <c r="O569" s="20"/>
      <c r="P569" s="15"/>
      <c r="Q569" s="22"/>
    </row>
    <row r="570" customHeight="1" spans="14:17">
      <c r="N570" s="20"/>
      <c r="O570" s="20"/>
      <c r="P570" s="15"/>
      <c r="Q570" s="22"/>
    </row>
    <row r="571" customHeight="1" spans="14:17">
      <c r="N571" s="20"/>
      <c r="O571" s="20"/>
      <c r="P571" s="15"/>
      <c r="Q571" s="22"/>
    </row>
    <row r="572" customHeight="1" spans="14:17">
      <c r="N572" s="20"/>
      <c r="O572" s="20"/>
      <c r="P572" s="15"/>
      <c r="Q572" s="22"/>
    </row>
    <row r="573" customHeight="1" spans="14:17">
      <c r="N573" s="20"/>
      <c r="O573" s="20"/>
      <c r="P573" s="15"/>
      <c r="Q573" s="22"/>
    </row>
    <row r="574" customHeight="1" spans="14:17">
      <c r="N574" s="20"/>
      <c r="O574" s="20"/>
      <c r="P574" s="15"/>
      <c r="Q574" s="22"/>
    </row>
    <row r="575" customHeight="1" spans="14:17">
      <c r="N575" s="20"/>
      <c r="O575" s="20"/>
      <c r="P575" s="15"/>
      <c r="Q575" s="22"/>
    </row>
    <row r="576" customHeight="1" spans="14:17">
      <c r="N576" s="20"/>
      <c r="O576" s="20"/>
      <c r="P576" s="15"/>
      <c r="Q576" s="22"/>
    </row>
    <row r="577" customHeight="1" spans="14:17">
      <c r="N577" s="20"/>
      <c r="O577" s="20"/>
      <c r="P577" s="15"/>
      <c r="Q577" s="22"/>
    </row>
    <row r="578" customHeight="1" spans="14:17">
      <c r="N578" s="20"/>
      <c r="O578" s="20"/>
      <c r="P578" s="15"/>
      <c r="Q578" s="22"/>
    </row>
    <row r="579" customHeight="1" spans="14:17">
      <c r="N579" s="20"/>
      <c r="O579" s="20"/>
      <c r="P579" s="15"/>
      <c r="Q579" s="22"/>
    </row>
    <row r="580" customHeight="1" spans="14:17">
      <c r="N580" s="20"/>
      <c r="O580" s="20"/>
      <c r="P580" s="15"/>
      <c r="Q580" s="22"/>
    </row>
    <row r="581" customHeight="1" spans="14:17">
      <c r="N581" s="20"/>
      <c r="O581" s="20"/>
      <c r="P581" s="15"/>
      <c r="Q581" s="22"/>
    </row>
    <row r="582" customHeight="1" spans="14:17">
      <c r="N582" s="20"/>
      <c r="O582" s="20"/>
      <c r="P582" s="15"/>
      <c r="Q582" s="22"/>
    </row>
    <row r="583" customHeight="1" spans="14:17">
      <c r="N583" s="20"/>
      <c r="O583" s="20"/>
      <c r="P583" s="15"/>
      <c r="Q583" s="22"/>
    </row>
    <row r="584" customHeight="1" spans="14:17">
      <c r="N584" s="20"/>
      <c r="O584" s="20"/>
      <c r="P584" s="15"/>
      <c r="Q584" s="22"/>
    </row>
    <row r="585" customHeight="1" spans="14:17">
      <c r="N585" s="20"/>
      <c r="O585" s="20"/>
      <c r="P585" s="15"/>
      <c r="Q585" s="22"/>
    </row>
    <row r="586" customHeight="1" spans="14:17">
      <c r="N586" s="20"/>
      <c r="O586" s="20"/>
      <c r="P586" s="15"/>
      <c r="Q586" s="22"/>
    </row>
    <row r="587" customHeight="1" spans="14:17">
      <c r="N587" s="20"/>
      <c r="O587" s="20"/>
      <c r="P587" s="15"/>
      <c r="Q587" s="22"/>
    </row>
    <row r="588" customHeight="1" spans="14:17">
      <c r="N588" s="20"/>
      <c r="O588" s="20"/>
      <c r="P588" s="15"/>
      <c r="Q588" s="22"/>
    </row>
    <row r="589" customHeight="1" spans="14:17">
      <c r="N589" s="20"/>
      <c r="O589" s="20"/>
      <c r="P589" s="15"/>
      <c r="Q589" s="22"/>
    </row>
    <row r="590" customHeight="1" spans="14:17">
      <c r="N590" s="20"/>
      <c r="O590" s="20"/>
      <c r="P590" s="15"/>
      <c r="Q590" s="22"/>
    </row>
    <row r="591" customHeight="1" spans="14:17">
      <c r="N591" s="20"/>
      <c r="O591" s="20"/>
      <c r="P591" s="15"/>
      <c r="Q591" s="22"/>
    </row>
    <row r="592" customHeight="1" spans="14:17">
      <c r="N592" s="20"/>
      <c r="O592" s="20"/>
      <c r="P592" s="15"/>
      <c r="Q592" s="22"/>
    </row>
    <row r="593" customHeight="1" spans="14:17">
      <c r="N593" s="20"/>
      <c r="O593" s="20"/>
      <c r="P593" s="15"/>
      <c r="Q593" s="22"/>
    </row>
    <row r="594" customHeight="1" spans="14:17">
      <c r="N594" s="20"/>
      <c r="O594" s="20"/>
      <c r="P594" s="15"/>
      <c r="Q594" s="22"/>
    </row>
    <row r="595" customHeight="1" spans="14:17">
      <c r="N595" s="20"/>
      <c r="O595" s="20"/>
      <c r="P595" s="15"/>
      <c r="Q595" s="22"/>
    </row>
    <row r="596" customHeight="1" spans="14:17">
      <c r="N596" s="20"/>
      <c r="O596" s="20"/>
      <c r="P596" s="15"/>
      <c r="Q596" s="22"/>
    </row>
    <row r="597" customHeight="1" spans="14:17">
      <c r="N597" s="20"/>
      <c r="O597" s="20"/>
      <c r="P597" s="15"/>
      <c r="Q597" s="22"/>
    </row>
    <row r="598" customHeight="1" spans="14:17">
      <c r="N598" s="20"/>
      <c r="O598" s="20"/>
      <c r="P598" s="15"/>
      <c r="Q598" s="22"/>
    </row>
    <row r="599" customHeight="1" spans="14:17">
      <c r="N599" s="20"/>
      <c r="O599" s="20"/>
      <c r="P599" s="15"/>
      <c r="Q599" s="22"/>
    </row>
    <row r="600" customHeight="1" spans="14:17">
      <c r="N600" s="20"/>
      <c r="O600" s="20"/>
      <c r="P600" s="15"/>
      <c r="Q600" s="22"/>
    </row>
    <row r="601" customHeight="1" spans="14:17">
      <c r="N601" s="20"/>
      <c r="O601" s="20"/>
      <c r="P601" s="15"/>
      <c r="Q601" s="22"/>
    </row>
    <row r="602" customHeight="1" spans="14:17">
      <c r="N602" s="20"/>
      <c r="O602" s="20"/>
      <c r="P602" s="15"/>
      <c r="Q602" s="22"/>
    </row>
    <row r="603" customHeight="1" spans="14:17">
      <c r="N603" s="20"/>
      <c r="O603" s="20"/>
      <c r="P603" s="15"/>
      <c r="Q603" s="22"/>
    </row>
    <row r="604" customHeight="1" spans="14:17">
      <c r="N604" s="20"/>
      <c r="O604" s="20"/>
      <c r="P604" s="15"/>
      <c r="Q604" s="22"/>
    </row>
    <row r="605" customHeight="1" spans="14:17">
      <c r="N605" s="20"/>
      <c r="O605" s="20"/>
      <c r="P605" s="15"/>
      <c r="Q605" s="22"/>
    </row>
    <row r="606" customHeight="1" spans="14:17">
      <c r="N606" s="20"/>
      <c r="O606" s="20"/>
      <c r="P606" s="15"/>
      <c r="Q606" s="22"/>
    </row>
    <row r="607" customHeight="1" spans="14:17">
      <c r="N607" s="20"/>
      <c r="O607" s="20"/>
      <c r="P607" s="15"/>
      <c r="Q607" s="22"/>
    </row>
    <row r="608" customHeight="1" spans="14:17">
      <c r="N608" s="20"/>
      <c r="O608" s="20"/>
      <c r="P608" s="15"/>
      <c r="Q608" s="22"/>
    </row>
    <row r="609" customHeight="1" spans="14:17">
      <c r="N609" s="20"/>
      <c r="O609" s="20"/>
      <c r="P609" s="15"/>
      <c r="Q609" s="22"/>
    </row>
    <row r="610" customHeight="1" spans="14:17">
      <c r="N610" s="20"/>
      <c r="O610" s="20"/>
      <c r="P610" s="15"/>
      <c r="Q610" s="22"/>
    </row>
    <row r="611" customHeight="1" spans="14:17">
      <c r="N611" s="20"/>
      <c r="O611" s="20"/>
      <c r="P611" s="15"/>
      <c r="Q611" s="22"/>
    </row>
    <row r="612" customHeight="1" spans="14:17">
      <c r="N612" s="20"/>
      <c r="O612" s="20"/>
      <c r="P612" s="15"/>
      <c r="Q612" s="22"/>
    </row>
    <row r="613" customHeight="1" spans="14:17">
      <c r="N613" s="20"/>
      <c r="O613" s="20"/>
      <c r="P613" s="15"/>
      <c r="Q613" s="22"/>
    </row>
    <row r="614" customHeight="1" spans="14:17">
      <c r="N614" s="20"/>
      <c r="O614" s="20"/>
      <c r="P614" s="15"/>
      <c r="Q614" s="22"/>
    </row>
    <row r="615" customHeight="1" spans="14:17">
      <c r="N615" s="20"/>
      <c r="O615" s="20"/>
      <c r="P615" s="15"/>
      <c r="Q615" s="22"/>
    </row>
    <row r="616" customHeight="1" spans="14:17">
      <c r="N616" s="20"/>
      <c r="O616" s="20"/>
      <c r="P616" s="15"/>
      <c r="Q616" s="22"/>
    </row>
    <row r="617" customHeight="1" spans="14:17">
      <c r="N617" s="20"/>
      <c r="O617" s="20"/>
      <c r="P617" s="15"/>
      <c r="Q617" s="22"/>
    </row>
    <row r="618" customHeight="1" spans="14:17">
      <c r="N618" s="20"/>
      <c r="O618" s="20"/>
      <c r="P618" s="15"/>
      <c r="Q618" s="22"/>
    </row>
    <row r="619" customHeight="1" spans="14:17">
      <c r="N619" s="20"/>
      <c r="O619" s="20"/>
      <c r="P619" s="15"/>
      <c r="Q619" s="22"/>
    </row>
    <row r="620" customHeight="1" spans="14:17">
      <c r="N620" s="20"/>
      <c r="O620" s="20"/>
      <c r="P620" s="15"/>
      <c r="Q620" s="22"/>
    </row>
    <row r="621" customHeight="1" spans="14:17">
      <c r="N621" s="20"/>
      <c r="O621" s="20"/>
      <c r="P621" s="15"/>
      <c r="Q621" s="22"/>
    </row>
    <row r="622" customHeight="1" spans="14:17">
      <c r="N622" s="20"/>
      <c r="O622" s="20"/>
      <c r="P622" s="15"/>
      <c r="Q622" s="22"/>
    </row>
    <row r="623" customHeight="1" spans="14:17">
      <c r="N623" s="20"/>
      <c r="O623" s="20"/>
      <c r="P623" s="15"/>
      <c r="Q623" s="22"/>
    </row>
    <row r="624" customHeight="1" spans="14:17">
      <c r="N624" s="20"/>
      <c r="O624" s="20"/>
      <c r="P624" s="15"/>
      <c r="Q624" s="22"/>
    </row>
    <row r="625" customHeight="1" spans="14:17">
      <c r="N625" s="20"/>
      <c r="O625" s="20"/>
      <c r="P625" s="15"/>
      <c r="Q625" s="22"/>
    </row>
    <row r="626" customHeight="1" spans="14:17">
      <c r="N626" s="20"/>
      <c r="O626" s="20"/>
      <c r="P626" s="15"/>
      <c r="Q626" s="22"/>
    </row>
    <row r="627" customHeight="1" spans="14:17">
      <c r="N627" s="20"/>
      <c r="O627" s="20"/>
      <c r="P627" s="15"/>
      <c r="Q627" s="22"/>
    </row>
    <row r="628" customHeight="1" spans="14:17">
      <c r="N628" s="20"/>
      <c r="O628" s="20"/>
      <c r="P628" s="15"/>
      <c r="Q628" s="22"/>
    </row>
    <row r="629" customHeight="1" spans="14:17">
      <c r="N629" s="20"/>
      <c r="O629" s="20"/>
      <c r="P629" s="15"/>
      <c r="Q629" s="22"/>
    </row>
    <row r="630" customHeight="1" spans="14:17">
      <c r="N630" s="20"/>
      <c r="O630" s="20"/>
      <c r="P630" s="15"/>
      <c r="Q630" s="22"/>
    </row>
    <row r="631" customHeight="1" spans="14:17">
      <c r="N631" s="20"/>
      <c r="O631" s="20"/>
      <c r="P631" s="15"/>
      <c r="Q631" s="22"/>
    </row>
    <row r="632" customHeight="1" spans="14:17">
      <c r="N632" s="20"/>
      <c r="O632" s="20"/>
      <c r="P632" s="15"/>
      <c r="Q632" s="22"/>
    </row>
    <row r="633" customHeight="1" spans="14:17">
      <c r="N633" s="20"/>
      <c r="O633" s="20"/>
      <c r="P633" s="15"/>
      <c r="Q633" s="22"/>
    </row>
    <row r="634" customHeight="1" spans="14:17">
      <c r="N634" s="20"/>
      <c r="O634" s="20"/>
      <c r="P634" s="15"/>
      <c r="Q634" s="22"/>
    </row>
    <row r="635" customHeight="1" spans="14:17">
      <c r="N635" s="20"/>
      <c r="O635" s="20"/>
      <c r="P635" s="15"/>
      <c r="Q635" s="22"/>
    </row>
    <row r="636" customHeight="1" spans="14:17">
      <c r="N636" s="20"/>
      <c r="O636" s="20"/>
      <c r="P636" s="15"/>
      <c r="Q636" s="22"/>
    </row>
    <row r="637" customHeight="1" spans="14:17">
      <c r="N637" s="20"/>
      <c r="O637" s="20"/>
      <c r="P637" s="15"/>
      <c r="Q637" s="22"/>
    </row>
    <row r="638" customHeight="1" spans="14:17">
      <c r="N638" s="20"/>
      <c r="O638" s="20"/>
      <c r="P638" s="15"/>
      <c r="Q638" s="22"/>
    </row>
    <row r="639" customHeight="1" spans="14:17">
      <c r="N639" s="20"/>
      <c r="O639" s="20"/>
      <c r="P639" s="15"/>
      <c r="Q639" s="22"/>
    </row>
    <row r="640" customHeight="1" spans="14:17">
      <c r="N640" s="20"/>
      <c r="O640" s="20"/>
      <c r="P640" s="15"/>
      <c r="Q640" s="22"/>
    </row>
    <row r="641" customHeight="1" spans="14:17">
      <c r="N641" s="20"/>
      <c r="O641" s="20"/>
      <c r="P641" s="15"/>
      <c r="Q641" s="22"/>
    </row>
    <row r="642" customHeight="1" spans="14:17">
      <c r="N642" s="20"/>
      <c r="O642" s="20"/>
      <c r="P642" s="15"/>
      <c r="Q642" s="22"/>
    </row>
    <row r="643" customHeight="1" spans="14:17">
      <c r="N643" s="20"/>
      <c r="O643" s="20"/>
      <c r="P643" s="15"/>
      <c r="Q643" s="22"/>
    </row>
    <row r="644" customHeight="1" spans="14:17">
      <c r="N644" s="20"/>
      <c r="O644" s="20"/>
      <c r="P644" s="15"/>
      <c r="Q644" s="22"/>
    </row>
    <row r="645" customHeight="1" spans="14:17">
      <c r="N645" s="20"/>
      <c r="O645" s="20"/>
      <c r="P645" s="15"/>
      <c r="Q645" s="22"/>
    </row>
    <row r="646" customHeight="1" spans="14:17">
      <c r="N646" s="20"/>
      <c r="O646" s="20"/>
      <c r="P646" s="15"/>
      <c r="Q646" s="22"/>
    </row>
    <row r="647" customHeight="1" spans="14:17">
      <c r="N647" s="20"/>
      <c r="O647" s="20"/>
      <c r="P647" s="15"/>
      <c r="Q647" s="22"/>
    </row>
    <row r="648" customHeight="1" spans="14:17">
      <c r="N648" s="20"/>
      <c r="O648" s="20"/>
      <c r="P648" s="15"/>
      <c r="Q648" s="22"/>
    </row>
    <row r="649" customHeight="1" spans="14:17">
      <c r="N649" s="20"/>
      <c r="O649" s="20"/>
      <c r="P649" s="15"/>
      <c r="Q649" s="22"/>
    </row>
    <row r="650" customHeight="1" spans="14:17">
      <c r="N650" s="20"/>
      <c r="O650" s="20"/>
      <c r="P650" s="15"/>
      <c r="Q650" s="22"/>
    </row>
    <row r="651" customHeight="1" spans="14:17">
      <c r="N651" s="20"/>
      <c r="O651" s="20"/>
      <c r="P651" s="15"/>
      <c r="Q651" s="22"/>
    </row>
    <row r="652" customHeight="1" spans="14:17">
      <c r="N652" s="20"/>
      <c r="O652" s="20"/>
      <c r="P652" s="15"/>
      <c r="Q652" s="22"/>
    </row>
    <row r="653" customHeight="1" spans="14:17">
      <c r="N653" s="20"/>
      <c r="O653" s="20"/>
      <c r="P653" s="15"/>
      <c r="Q653" s="22"/>
    </row>
    <row r="654" customHeight="1" spans="14:17">
      <c r="N654" s="20"/>
      <c r="O654" s="20"/>
      <c r="P654" s="15"/>
      <c r="Q654" s="22"/>
    </row>
    <row r="655" customHeight="1" spans="14:17">
      <c r="N655" s="20"/>
      <c r="O655" s="20"/>
      <c r="P655" s="15"/>
      <c r="Q655" s="22"/>
    </row>
    <row r="656" customHeight="1" spans="14:17">
      <c r="N656" s="20"/>
      <c r="O656" s="20"/>
      <c r="P656" s="15"/>
      <c r="Q656" s="22"/>
    </row>
    <row r="657" customHeight="1" spans="14:17">
      <c r="N657" s="20"/>
      <c r="O657" s="20"/>
      <c r="P657" s="15"/>
      <c r="Q657" s="22"/>
    </row>
    <row r="658" customHeight="1" spans="14:17">
      <c r="N658" s="20"/>
      <c r="O658" s="20"/>
      <c r="P658" s="15"/>
      <c r="Q658" s="22"/>
    </row>
    <row r="659" customHeight="1" spans="14:17">
      <c r="N659" s="20"/>
      <c r="O659" s="20"/>
      <c r="P659" s="15"/>
      <c r="Q659" s="22"/>
    </row>
    <row r="660" customHeight="1" spans="14:17">
      <c r="N660" s="20"/>
      <c r="O660" s="20"/>
      <c r="P660" s="15"/>
      <c r="Q660" s="22"/>
    </row>
    <row r="661" customHeight="1" spans="14:17">
      <c r="N661" s="20"/>
      <c r="O661" s="20"/>
      <c r="P661" s="15"/>
      <c r="Q661" s="22"/>
    </row>
    <row r="662" customHeight="1" spans="14:17">
      <c r="N662" s="20"/>
      <c r="O662" s="20"/>
      <c r="P662" s="15"/>
      <c r="Q662" s="22"/>
    </row>
    <row r="663" customHeight="1" spans="14:17">
      <c r="N663" s="20"/>
      <c r="O663" s="20"/>
      <c r="P663" s="15"/>
      <c r="Q663" s="22"/>
    </row>
    <row r="664" customHeight="1" spans="14:17">
      <c r="N664" s="20"/>
      <c r="O664" s="20"/>
      <c r="P664" s="15"/>
      <c r="Q664" s="22"/>
    </row>
    <row r="665" customHeight="1" spans="14:17">
      <c r="N665" s="20"/>
      <c r="O665" s="20"/>
      <c r="P665" s="15"/>
      <c r="Q665" s="22"/>
    </row>
    <row r="666" customHeight="1" spans="14:17">
      <c r="N666" s="20"/>
      <c r="O666" s="20"/>
      <c r="P666" s="15"/>
      <c r="Q666" s="22"/>
    </row>
    <row r="667" customHeight="1" spans="14:17">
      <c r="N667" s="20"/>
      <c r="O667" s="20"/>
      <c r="P667" s="15"/>
      <c r="Q667" s="22"/>
    </row>
    <row r="668" customHeight="1" spans="14:17">
      <c r="N668" s="20"/>
      <c r="O668" s="20"/>
      <c r="P668" s="15"/>
      <c r="Q668" s="22"/>
    </row>
    <row r="669" customHeight="1" spans="14:17">
      <c r="N669" s="20"/>
      <c r="O669" s="20"/>
      <c r="P669" s="15"/>
      <c r="Q669" s="22"/>
    </row>
    <row r="670" customHeight="1" spans="14:17">
      <c r="N670" s="20"/>
      <c r="O670" s="20"/>
      <c r="P670" s="15"/>
      <c r="Q670" s="22"/>
    </row>
    <row r="671" customHeight="1" spans="14:17">
      <c r="N671" s="20"/>
      <c r="O671" s="20"/>
      <c r="P671" s="15"/>
      <c r="Q671" s="22"/>
    </row>
    <row r="672" customHeight="1" spans="14:17">
      <c r="N672" s="20"/>
      <c r="O672" s="20"/>
      <c r="P672" s="15"/>
      <c r="Q672" s="22"/>
    </row>
    <row r="673" customHeight="1" spans="14:17">
      <c r="N673" s="20"/>
      <c r="O673" s="20"/>
      <c r="P673" s="15"/>
      <c r="Q673" s="22"/>
    </row>
    <row r="674" customHeight="1" spans="14:17">
      <c r="N674" s="20"/>
      <c r="O674" s="20"/>
      <c r="P674" s="15"/>
      <c r="Q674" s="22"/>
    </row>
    <row r="675" customHeight="1" spans="14:17">
      <c r="N675" s="20"/>
      <c r="O675" s="20"/>
      <c r="P675" s="15"/>
      <c r="Q675" s="22"/>
    </row>
    <row r="676" customHeight="1" spans="14:17">
      <c r="N676" s="20"/>
      <c r="O676" s="20"/>
      <c r="P676" s="15"/>
      <c r="Q676" s="22"/>
    </row>
    <row r="677" customHeight="1" spans="14:17">
      <c r="N677" s="20"/>
      <c r="O677" s="20"/>
      <c r="P677" s="15"/>
      <c r="Q677" s="22"/>
    </row>
    <row r="678" customHeight="1" spans="14:17">
      <c r="N678" s="20"/>
      <c r="O678" s="20"/>
      <c r="P678" s="15"/>
      <c r="Q678" s="22"/>
    </row>
    <row r="679" customHeight="1" spans="14:17">
      <c r="N679" s="20"/>
      <c r="O679" s="20"/>
      <c r="P679" s="15"/>
      <c r="Q679" s="22"/>
    </row>
    <row r="680" customHeight="1" spans="14:17">
      <c r="N680" s="20"/>
      <c r="O680" s="20"/>
      <c r="P680" s="15"/>
      <c r="Q680" s="22"/>
    </row>
    <row r="681" customHeight="1" spans="14:17">
      <c r="N681" s="20"/>
      <c r="O681" s="20"/>
      <c r="P681" s="15"/>
      <c r="Q681" s="22"/>
    </row>
    <row r="682" customHeight="1" spans="14:17">
      <c r="N682" s="20"/>
      <c r="O682" s="20"/>
      <c r="P682" s="15"/>
      <c r="Q682" s="22"/>
    </row>
    <row r="683" customHeight="1" spans="14:17">
      <c r="N683" s="20"/>
      <c r="O683" s="20"/>
      <c r="P683" s="15"/>
      <c r="Q683" s="22"/>
    </row>
    <row r="684" customHeight="1" spans="14:17">
      <c r="N684" s="20"/>
      <c r="O684" s="20"/>
      <c r="P684" s="15"/>
      <c r="Q684" s="22"/>
    </row>
    <row r="685" customHeight="1" spans="14:17">
      <c r="N685" s="20"/>
      <c r="O685" s="20"/>
      <c r="P685" s="15"/>
      <c r="Q685" s="22"/>
    </row>
    <row r="686" customHeight="1" spans="14:17">
      <c r="N686" s="20"/>
      <c r="O686" s="20"/>
      <c r="P686" s="15"/>
      <c r="Q686" s="22"/>
    </row>
    <row r="687" customHeight="1" spans="14:17">
      <c r="N687" s="20"/>
      <c r="O687" s="20"/>
      <c r="P687" s="15"/>
      <c r="Q687" s="22"/>
    </row>
    <row r="688" customHeight="1" spans="14:17">
      <c r="N688" s="20"/>
      <c r="O688" s="20"/>
      <c r="P688" s="15"/>
      <c r="Q688" s="22"/>
    </row>
    <row r="689" customHeight="1" spans="14:17">
      <c r="N689" s="20"/>
      <c r="O689" s="20"/>
      <c r="P689" s="15"/>
      <c r="Q689" s="22"/>
    </row>
    <row r="690" customHeight="1" spans="14:17">
      <c r="N690" s="20"/>
      <c r="O690" s="20"/>
      <c r="P690" s="15"/>
      <c r="Q690" s="22"/>
    </row>
    <row r="691" customHeight="1" spans="14:17">
      <c r="N691" s="20"/>
      <c r="O691" s="20"/>
      <c r="P691" s="15"/>
      <c r="Q691" s="22"/>
    </row>
    <row r="692" customHeight="1" spans="14:17">
      <c r="N692" s="20"/>
      <c r="O692" s="20"/>
      <c r="P692" s="15"/>
      <c r="Q692" s="22"/>
    </row>
    <row r="693" customHeight="1" spans="14:17">
      <c r="N693" s="20"/>
      <c r="O693" s="20"/>
      <c r="P693" s="15"/>
      <c r="Q693" s="22"/>
    </row>
    <row r="694" customHeight="1" spans="14:17">
      <c r="N694" s="20"/>
      <c r="O694" s="20"/>
      <c r="P694" s="15"/>
      <c r="Q694" s="22"/>
    </row>
    <row r="695" customHeight="1" spans="14:17">
      <c r="N695" s="20"/>
      <c r="O695" s="20"/>
      <c r="P695" s="15"/>
      <c r="Q695" s="22"/>
    </row>
    <row r="696" customHeight="1" spans="14:17">
      <c r="N696" s="20"/>
      <c r="O696" s="20"/>
      <c r="P696" s="15"/>
      <c r="Q696" s="22"/>
    </row>
    <row r="697" customHeight="1" spans="14:17">
      <c r="N697" s="20"/>
      <c r="O697" s="20"/>
      <c r="P697" s="15"/>
      <c r="Q697" s="22"/>
    </row>
    <row r="698" customHeight="1" spans="14:17">
      <c r="N698" s="20"/>
      <c r="O698" s="20"/>
      <c r="P698" s="15"/>
      <c r="Q698" s="22"/>
    </row>
    <row r="699" customHeight="1" spans="14:17">
      <c r="N699" s="20"/>
      <c r="O699" s="20"/>
      <c r="P699" s="15"/>
      <c r="Q699" s="22"/>
    </row>
    <row r="700" customHeight="1" spans="14:17">
      <c r="N700" s="20"/>
      <c r="O700" s="20"/>
      <c r="P700" s="15"/>
      <c r="Q700" s="22"/>
    </row>
    <row r="701" customHeight="1" spans="14:17">
      <c r="N701" s="20"/>
      <c r="O701" s="20"/>
      <c r="P701" s="15"/>
      <c r="Q701" s="22"/>
    </row>
    <row r="702" customHeight="1" spans="14:17">
      <c r="N702" s="20"/>
      <c r="O702" s="20"/>
      <c r="P702" s="15"/>
      <c r="Q702" s="22"/>
    </row>
    <row r="703" customHeight="1" spans="14:17">
      <c r="N703" s="20"/>
      <c r="O703" s="20"/>
      <c r="P703" s="15"/>
      <c r="Q703" s="22"/>
    </row>
    <row r="704" customHeight="1" spans="14:17">
      <c r="N704" s="20"/>
      <c r="O704" s="20"/>
      <c r="P704" s="15"/>
      <c r="Q704" s="22"/>
    </row>
    <row r="705" customHeight="1" spans="14:17">
      <c r="N705" s="20"/>
      <c r="O705" s="20"/>
      <c r="P705" s="15"/>
      <c r="Q705" s="22"/>
    </row>
    <row r="706" customHeight="1" spans="14:17">
      <c r="N706" s="20"/>
      <c r="O706" s="20"/>
      <c r="P706" s="15"/>
      <c r="Q706" s="22"/>
    </row>
    <row r="707" customHeight="1" spans="14:17">
      <c r="N707" s="20"/>
      <c r="O707" s="20"/>
      <c r="P707" s="15"/>
      <c r="Q707" s="22"/>
    </row>
    <row r="708" customHeight="1" spans="14:17">
      <c r="N708" s="20"/>
      <c r="O708" s="20"/>
      <c r="P708" s="15"/>
      <c r="Q708" s="22"/>
    </row>
    <row r="709" customHeight="1" spans="14:17">
      <c r="N709" s="20"/>
      <c r="O709" s="20"/>
      <c r="P709" s="15"/>
      <c r="Q709" s="22"/>
    </row>
    <row r="710" customHeight="1" spans="14:17">
      <c r="N710" s="20"/>
      <c r="O710" s="20"/>
      <c r="P710" s="15"/>
      <c r="Q710" s="22"/>
    </row>
    <row r="711" customHeight="1" spans="14:17">
      <c r="N711" s="20"/>
      <c r="O711" s="20"/>
      <c r="P711" s="15"/>
      <c r="Q711" s="22"/>
    </row>
    <row r="712" customHeight="1" spans="14:17">
      <c r="N712" s="20"/>
      <c r="O712" s="20"/>
      <c r="P712" s="15"/>
      <c r="Q712" s="22"/>
    </row>
    <row r="713" customHeight="1" spans="14:17">
      <c r="N713" s="20"/>
      <c r="O713" s="20"/>
      <c r="P713" s="15"/>
      <c r="Q713" s="22"/>
    </row>
    <row r="714" customHeight="1" spans="14:17">
      <c r="N714" s="20"/>
      <c r="O714" s="20"/>
      <c r="P714" s="15"/>
      <c r="Q714" s="22"/>
    </row>
    <row r="715" customHeight="1" spans="14:17">
      <c r="N715" s="20"/>
      <c r="O715" s="20"/>
      <c r="P715" s="15"/>
      <c r="Q715" s="22"/>
    </row>
    <row r="716" customHeight="1" spans="14:17">
      <c r="N716" s="20"/>
      <c r="O716" s="20"/>
      <c r="P716" s="15"/>
      <c r="Q716" s="22"/>
    </row>
    <row r="717" customHeight="1" spans="14:17">
      <c r="N717" s="20"/>
      <c r="O717" s="20"/>
      <c r="P717" s="15"/>
      <c r="Q717" s="22"/>
    </row>
    <row r="718" customHeight="1" spans="14:17">
      <c r="N718" s="20"/>
      <c r="O718" s="20"/>
      <c r="P718" s="15"/>
      <c r="Q718" s="22"/>
    </row>
    <row r="719" customHeight="1" spans="14:17">
      <c r="N719" s="20"/>
      <c r="O719" s="20"/>
      <c r="P719" s="15"/>
      <c r="Q719" s="22"/>
    </row>
    <row r="720" customHeight="1" spans="14:17">
      <c r="N720" s="20"/>
      <c r="O720" s="20"/>
      <c r="P720" s="15"/>
      <c r="Q720" s="22"/>
    </row>
    <row r="721" customHeight="1" spans="14:17">
      <c r="N721" s="20"/>
      <c r="O721" s="20"/>
      <c r="P721" s="15"/>
      <c r="Q721" s="22"/>
    </row>
    <row r="722" customHeight="1" spans="14:17">
      <c r="N722" s="20"/>
      <c r="O722" s="20"/>
      <c r="P722" s="15"/>
      <c r="Q722" s="22"/>
    </row>
    <row r="723" customHeight="1" spans="14:17">
      <c r="N723" s="20"/>
      <c r="O723" s="20"/>
      <c r="P723" s="15"/>
      <c r="Q723" s="22"/>
    </row>
    <row r="724" customHeight="1" spans="14:17">
      <c r="N724" s="20"/>
      <c r="O724" s="20"/>
      <c r="P724" s="15"/>
      <c r="Q724" s="22"/>
    </row>
    <row r="725" customHeight="1" spans="14:17">
      <c r="N725" s="20"/>
      <c r="O725" s="20"/>
      <c r="P725" s="15"/>
      <c r="Q725" s="22"/>
    </row>
    <row r="726" customHeight="1" spans="14:17">
      <c r="N726" s="20"/>
      <c r="O726" s="20"/>
      <c r="P726" s="15"/>
      <c r="Q726" s="22"/>
    </row>
    <row r="727" customHeight="1" spans="14:17">
      <c r="N727" s="20"/>
      <c r="O727" s="20"/>
      <c r="P727" s="15"/>
      <c r="Q727" s="22"/>
    </row>
    <row r="728" customHeight="1" spans="14:17">
      <c r="N728" s="20"/>
      <c r="O728" s="20"/>
      <c r="P728" s="15"/>
      <c r="Q728" s="22"/>
    </row>
    <row r="729" customHeight="1" spans="14:17">
      <c r="N729" s="20"/>
      <c r="O729" s="20"/>
      <c r="P729" s="15"/>
      <c r="Q729" s="22"/>
    </row>
    <row r="730" customHeight="1" spans="14:17">
      <c r="N730" s="20"/>
      <c r="O730" s="20"/>
      <c r="P730" s="15"/>
      <c r="Q730" s="22"/>
    </row>
    <row r="731" customHeight="1" spans="14:17">
      <c r="N731" s="20"/>
      <c r="O731" s="20"/>
      <c r="P731" s="15"/>
      <c r="Q731" s="22"/>
    </row>
    <row r="732" customHeight="1" spans="14:17">
      <c r="N732" s="20"/>
      <c r="O732" s="20"/>
      <c r="P732" s="15"/>
      <c r="Q732" s="22"/>
    </row>
    <row r="733" customHeight="1" spans="14:17">
      <c r="N733" s="20"/>
      <c r="O733" s="20"/>
      <c r="P733" s="15"/>
      <c r="Q733" s="22"/>
    </row>
    <row r="734" customHeight="1" spans="14:17">
      <c r="N734" s="20"/>
      <c r="O734" s="20"/>
      <c r="P734" s="15"/>
      <c r="Q734" s="22"/>
    </row>
    <row r="735" customHeight="1" spans="14:17">
      <c r="N735" s="20"/>
      <c r="O735" s="20"/>
      <c r="P735" s="15"/>
      <c r="Q735" s="22"/>
    </row>
    <row r="736" customHeight="1" spans="14:17">
      <c r="N736" s="20"/>
      <c r="O736" s="20"/>
      <c r="P736" s="15"/>
      <c r="Q736" s="22"/>
    </row>
    <row r="737" customHeight="1" spans="14:17">
      <c r="N737" s="20"/>
      <c r="O737" s="20"/>
      <c r="P737" s="15"/>
      <c r="Q737" s="22"/>
    </row>
    <row r="738" customHeight="1" spans="14:17">
      <c r="N738" s="20"/>
      <c r="O738" s="20"/>
      <c r="P738" s="15"/>
      <c r="Q738" s="22"/>
    </row>
    <row r="739" customHeight="1" spans="14:17">
      <c r="N739" s="20"/>
      <c r="O739" s="20"/>
      <c r="P739" s="15"/>
      <c r="Q739" s="22"/>
    </row>
    <row r="740" customHeight="1" spans="14:17">
      <c r="N740" s="20"/>
      <c r="O740" s="20"/>
      <c r="P740" s="15"/>
      <c r="Q740" s="22"/>
    </row>
    <row r="741" customHeight="1" spans="14:17">
      <c r="N741" s="20"/>
      <c r="O741" s="20"/>
      <c r="P741" s="15"/>
      <c r="Q741" s="22"/>
    </row>
    <row r="742" customHeight="1" spans="14:17">
      <c r="N742" s="20"/>
      <c r="O742" s="20"/>
      <c r="P742" s="15"/>
      <c r="Q742" s="22"/>
    </row>
    <row r="743" customHeight="1" spans="14:17">
      <c r="N743" s="20"/>
      <c r="O743" s="20"/>
      <c r="P743" s="15"/>
      <c r="Q743" s="22"/>
    </row>
    <row r="744" customHeight="1" spans="14:17">
      <c r="N744" s="20"/>
      <c r="O744" s="20"/>
      <c r="P744" s="15"/>
      <c r="Q744" s="22"/>
    </row>
    <row r="745" customHeight="1" spans="14:17">
      <c r="N745" s="20"/>
      <c r="O745" s="20"/>
      <c r="P745" s="15"/>
      <c r="Q745" s="22"/>
    </row>
    <row r="746" customHeight="1" spans="14:17">
      <c r="N746" s="20"/>
      <c r="O746" s="20"/>
      <c r="P746" s="15"/>
      <c r="Q746" s="22"/>
    </row>
    <row r="747" customHeight="1" spans="14:17">
      <c r="N747" s="20"/>
      <c r="O747" s="20"/>
      <c r="P747" s="15"/>
      <c r="Q747" s="22"/>
    </row>
    <row r="748" customHeight="1" spans="14:17">
      <c r="N748" s="20"/>
      <c r="O748" s="20"/>
      <c r="P748" s="15"/>
      <c r="Q748" s="22"/>
    </row>
    <row r="749" customHeight="1" spans="14:17">
      <c r="N749" s="20"/>
      <c r="O749" s="20"/>
      <c r="P749" s="15"/>
      <c r="Q749" s="22"/>
    </row>
    <row r="750" customHeight="1" spans="14:17">
      <c r="N750" s="20"/>
      <c r="O750" s="20"/>
      <c r="P750" s="15"/>
      <c r="Q750" s="22"/>
    </row>
    <row r="751" customHeight="1" spans="14:17">
      <c r="N751" s="20"/>
      <c r="O751" s="20"/>
      <c r="P751" s="15"/>
      <c r="Q751" s="22"/>
    </row>
    <row r="752" customHeight="1" spans="14:17">
      <c r="N752" s="20"/>
      <c r="O752" s="20"/>
      <c r="P752" s="15"/>
      <c r="Q752" s="22"/>
    </row>
    <row r="753" customHeight="1" spans="14:17">
      <c r="N753" s="20"/>
      <c r="O753" s="20"/>
      <c r="P753" s="15"/>
      <c r="Q753" s="22"/>
    </row>
    <row r="754" customHeight="1" spans="14:17">
      <c r="N754" s="20"/>
      <c r="O754" s="20"/>
      <c r="P754" s="15"/>
      <c r="Q754" s="22"/>
    </row>
    <row r="755" customHeight="1" spans="14:17">
      <c r="N755" s="20"/>
      <c r="O755" s="20"/>
      <c r="P755" s="15"/>
      <c r="Q755" s="22"/>
    </row>
    <row r="756" customHeight="1" spans="14:17">
      <c r="N756" s="20"/>
      <c r="O756" s="20"/>
      <c r="P756" s="15"/>
      <c r="Q756" s="22"/>
    </row>
    <row r="757" customHeight="1" spans="14:17">
      <c r="N757" s="20"/>
      <c r="O757" s="20"/>
      <c r="P757" s="15"/>
      <c r="Q757" s="22"/>
    </row>
    <row r="758" customHeight="1" spans="14:17">
      <c r="N758" s="20"/>
      <c r="O758" s="20"/>
      <c r="P758" s="15"/>
      <c r="Q758" s="22"/>
    </row>
    <row r="759" customHeight="1" spans="14:17">
      <c r="N759" s="20"/>
      <c r="O759" s="20"/>
      <c r="P759" s="15"/>
      <c r="Q759" s="22"/>
    </row>
    <row r="760" customHeight="1" spans="14:17">
      <c r="N760" s="20"/>
      <c r="O760" s="20"/>
      <c r="P760" s="15"/>
      <c r="Q760" s="22"/>
    </row>
    <row r="761" customHeight="1" spans="14:17">
      <c r="N761" s="20"/>
      <c r="O761" s="20"/>
      <c r="P761" s="15"/>
      <c r="Q761" s="22"/>
    </row>
    <row r="762" customHeight="1" spans="14:17">
      <c r="N762" s="20"/>
      <c r="O762" s="20"/>
      <c r="P762" s="15"/>
      <c r="Q762" s="22"/>
    </row>
    <row r="763" customHeight="1" spans="14:17">
      <c r="N763" s="20"/>
      <c r="O763" s="20"/>
      <c r="P763" s="15"/>
      <c r="Q763" s="22"/>
    </row>
    <row r="764" customHeight="1" spans="14:17">
      <c r="N764" s="20"/>
      <c r="O764" s="20"/>
      <c r="P764" s="15"/>
      <c r="Q764" s="22"/>
    </row>
    <row r="765" customHeight="1" spans="14:17">
      <c r="N765" s="20"/>
      <c r="O765" s="20"/>
      <c r="P765" s="15"/>
      <c r="Q765" s="22"/>
    </row>
    <row r="766" customHeight="1" spans="14:17">
      <c r="N766" s="20"/>
      <c r="O766" s="20"/>
      <c r="P766" s="15"/>
      <c r="Q766" s="22"/>
    </row>
    <row r="767" customHeight="1" spans="14:17">
      <c r="N767" s="20"/>
      <c r="O767" s="20"/>
      <c r="P767" s="15"/>
      <c r="Q767" s="22"/>
    </row>
    <row r="768" customHeight="1" spans="14:17">
      <c r="N768" s="20"/>
      <c r="O768" s="20"/>
      <c r="P768" s="15"/>
      <c r="Q768" s="22"/>
    </row>
    <row r="769" customHeight="1" spans="14:17">
      <c r="N769" s="20"/>
      <c r="O769" s="20"/>
      <c r="P769" s="15"/>
      <c r="Q769" s="22"/>
    </row>
    <row r="770" customHeight="1" spans="14:17">
      <c r="N770" s="20"/>
      <c r="O770" s="20"/>
      <c r="P770" s="15"/>
      <c r="Q770" s="22"/>
    </row>
    <row r="771" customHeight="1" spans="14:17">
      <c r="N771" s="20"/>
      <c r="O771" s="20"/>
      <c r="P771" s="15"/>
      <c r="Q771" s="22"/>
    </row>
    <row r="772" customHeight="1" spans="14:17">
      <c r="N772" s="20"/>
      <c r="O772" s="20"/>
      <c r="P772" s="15"/>
      <c r="Q772" s="22"/>
    </row>
    <row r="773" customHeight="1" spans="14:17">
      <c r="N773" s="20"/>
      <c r="O773" s="20"/>
      <c r="P773" s="15"/>
      <c r="Q773" s="22"/>
    </row>
    <row r="774" customHeight="1" spans="14:17">
      <c r="N774" s="20"/>
      <c r="O774" s="20"/>
      <c r="P774" s="15"/>
      <c r="Q774" s="22"/>
    </row>
    <row r="775" customHeight="1" spans="14:17">
      <c r="N775" s="20"/>
      <c r="O775" s="20"/>
      <c r="P775" s="15"/>
      <c r="Q775" s="22"/>
    </row>
    <row r="776" customHeight="1" spans="14:17">
      <c r="N776" s="20"/>
      <c r="O776" s="20"/>
      <c r="P776" s="15"/>
      <c r="Q776" s="22"/>
    </row>
    <row r="777" customHeight="1" spans="14:17">
      <c r="N777" s="20"/>
      <c r="O777" s="20"/>
      <c r="P777" s="15"/>
      <c r="Q777" s="22"/>
    </row>
    <row r="778" customHeight="1" spans="14:17">
      <c r="N778" s="20"/>
      <c r="O778" s="20"/>
      <c r="P778" s="15"/>
      <c r="Q778" s="22"/>
    </row>
    <row r="779" customHeight="1" spans="14:17">
      <c r="N779" s="20"/>
      <c r="O779" s="20"/>
      <c r="P779" s="15"/>
      <c r="Q779" s="22"/>
    </row>
    <row r="780" customHeight="1" spans="14:17">
      <c r="N780" s="20"/>
      <c r="O780" s="20"/>
      <c r="P780" s="15"/>
      <c r="Q780" s="22"/>
    </row>
    <row r="781" customHeight="1" spans="14:17">
      <c r="N781" s="20"/>
      <c r="O781" s="20"/>
      <c r="P781" s="15"/>
      <c r="Q781" s="22"/>
    </row>
    <row r="782" customHeight="1" spans="14:17">
      <c r="N782" s="20"/>
      <c r="O782" s="20"/>
      <c r="P782" s="15"/>
      <c r="Q782" s="22"/>
    </row>
    <row r="783" customHeight="1" spans="14:17">
      <c r="N783" s="20"/>
      <c r="O783" s="20"/>
      <c r="P783" s="15"/>
      <c r="Q783" s="22"/>
    </row>
    <row r="784" customHeight="1" spans="14:17">
      <c r="N784" s="20"/>
      <c r="O784" s="20"/>
      <c r="P784" s="15"/>
      <c r="Q784" s="22"/>
    </row>
    <row r="785" customHeight="1" spans="14:17">
      <c r="N785" s="20"/>
      <c r="O785" s="20"/>
      <c r="P785" s="15"/>
      <c r="Q785" s="22"/>
    </row>
    <row r="786" customHeight="1" spans="14:17">
      <c r="N786" s="20"/>
      <c r="O786" s="20"/>
      <c r="P786" s="15"/>
      <c r="Q786" s="22"/>
    </row>
    <row r="787" customHeight="1" spans="14:17">
      <c r="N787" s="20"/>
      <c r="O787" s="20"/>
      <c r="P787" s="15"/>
      <c r="Q787" s="22"/>
    </row>
    <row r="788" customHeight="1" spans="14:17">
      <c r="N788" s="20"/>
      <c r="O788" s="20"/>
      <c r="P788" s="15"/>
      <c r="Q788" s="22"/>
    </row>
    <row r="789" customHeight="1" spans="14:17">
      <c r="N789" s="20"/>
      <c r="O789" s="20"/>
      <c r="P789" s="15"/>
      <c r="Q789" s="22"/>
    </row>
    <row r="790" customHeight="1" spans="14:17">
      <c r="N790" s="20"/>
      <c r="O790" s="20"/>
      <c r="P790" s="15"/>
      <c r="Q790" s="22"/>
    </row>
    <row r="791" customHeight="1" spans="14:17">
      <c r="N791" s="20"/>
      <c r="O791" s="20"/>
      <c r="P791" s="15"/>
      <c r="Q791" s="22"/>
    </row>
    <row r="792" customHeight="1" spans="14:17">
      <c r="N792" s="20"/>
      <c r="O792" s="20"/>
      <c r="P792" s="15"/>
      <c r="Q792" s="22"/>
    </row>
    <row r="793" customHeight="1" spans="14:17">
      <c r="N793" s="20"/>
      <c r="O793" s="20"/>
      <c r="P793" s="15"/>
      <c r="Q793" s="22"/>
    </row>
    <row r="794" customHeight="1" spans="14:17">
      <c r="N794" s="20"/>
      <c r="O794" s="20"/>
      <c r="P794" s="15"/>
      <c r="Q794" s="22"/>
    </row>
    <row r="795" customHeight="1" spans="14:17">
      <c r="N795" s="20"/>
      <c r="O795" s="20"/>
      <c r="P795" s="15"/>
      <c r="Q795" s="22"/>
    </row>
    <row r="796" customHeight="1" spans="14:17">
      <c r="N796" s="20"/>
      <c r="O796" s="20"/>
      <c r="P796" s="15"/>
      <c r="Q796" s="22"/>
    </row>
    <row r="797" customHeight="1" spans="14:17">
      <c r="N797" s="20"/>
      <c r="O797" s="20"/>
      <c r="P797" s="15"/>
      <c r="Q797" s="22"/>
    </row>
    <row r="798" customHeight="1" spans="14:17">
      <c r="N798" s="20"/>
      <c r="O798" s="20"/>
      <c r="P798" s="15"/>
      <c r="Q798" s="22"/>
    </row>
    <row r="799" customHeight="1" spans="14:17">
      <c r="N799" s="20"/>
      <c r="O799" s="20"/>
      <c r="P799" s="15"/>
      <c r="Q799" s="22"/>
    </row>
    <row r="800" customHeight="1" spans="14:17">
      <c r="N800" s="20"/>
      <c r="O800" s="20"/>
      <c r="P800" s="15"/>
      <c r="Q800" s="22"/>
    </row>
    <row r="801" customHeight="1" spans="14:17">
      <c r="N801" s="20"/>
      <c r="O801" s="20"/>
      <c r="P801" s="15"/>
      <c r="Q801" s="22"/>
    </row>
    <row r="802" customHeight="1" spans="14:17">
      <c r="N802" s="20"/>
      <c r="O802" s="20"/>
      <c r="P802" s="15"/>
      <c r="Q802" s="22"/>
    </row>
    <row r="803" customHeight="1" spans="14:17">
      <c r="N803" s="20"/>
      <c r="O803" s="20"/>
      <c r="P803" s="15"/>
      <c r="Q803" s="22"/>
    </row>
    <row r="804" customHeight="1" spans="14:17">
      <c r="N804" s="20"/>
      <c r="O804" s="20"/>
      <c r="P804" s="15"/>
      <c r="Q804" s="22"/>
    </row>
    <row r="805" customHeight="1" spans="14:17">
      <c r="N805" s="20"/>
      <c r="O805" s="20"/>
      <c r="P805" s="15"/>
      <c r="Q805" s="22"/>
    </row>
    <row r="806" customHeight="1" spans="14:17">
      <c r="N806" s="20"/>
      <c r="O806" s="20"/>
      <c r="P806" s="15"/>
      <c r="Q806" s="22"/>
    </row>
    <row r="807" customHeight="1" spans="14:17">
      <c r="N807" s="20"/>
      <c r="O807" s="20"/>
      <c r="P807" s="15"/>
      <c r="Q807" s="22"/>
    </row>
    <row r="808" customHeight="1" spans="14:17">
      <c r="N808" s="20"/>
      <c r="O808" s="20"/>
      <c r="P808" s="15"/>
      <c r="Q808" s="22"/>
    </row>
    <row r="809" customHeight="1" spans="14:17">
      <c r="N809" s="20"/>
      <c r="O809" s="20"/>
      <c r="P809" s="15"/>
      <c r="Q809" s="22"/>
    </row>
    <row r="810" customHeight="1" spans="14:17">
      <c r="N810" s="20"/>
      <c r="O810" s="20"/>
      <c r="P810" s="15"/>
      <c r="Q810" s="22"/>
    </row>
    <row r="811" customHeight="1" spans="14:17">
      <c r="N811" s="20"/>
      <c r="O811" s="20"/>
      <c r="P811" s="15"/>
      <c r="Q811" s="22"/>
    </row>
    <row r="812" customHeight="1" spans="14:17">
      <c r="N812" s="20"/>
      <c r="O812" s="20"/>
      <c r="P812" s="15"/>
      <c r="Q812" s="22"/>
    </row>
    <row r="813" customHeight="1" spans="14:17">
      <c r="N813" s="20"/>
      <c r="O813" s="20"/>
      <c r="P813" s="15"/>
      <c r="Q813" s="22"/>
    </row>
    <row r="814" customHeight="1" spans="14:17">
      <c r="N814" s="20"/>
      <c r="O814" s="20"/>
      <c r="P814" s="15"/>
      <c r="Q814" s="22"/>
    </row>
    <row r="815" customHeight="1" spans="14:17">
      <c r="N815" s="20"/>
      <c r="O815" s="20"/>
      <c r="P815" s="15"/>
      <c r="Q815" s="22"/>
    </row>
    <row r="816" customHeight="1" spans="14:17">
      <c r="N816" s="20"/>
      <c r="O816" s="20"/>
      <c r="P816" s="15"/>
      <c r="Q816" s="22"/>
    </row>
    <row r="817" customHeight="1" spans="14:17">
      <c r="N817" s="20"/>
      <c r="O817" s="20"/>
      <c r="P817" s="15"/>
      <c r="Q817" s="22"/>
    </row>
    <row r="818" customHeight="1" spans="14:17">
      <c r="N818" s="20"/>
      <c r="O818" s="20"/>
      <c r="P818" s="15"/>
      <c r="Q818" s="22"/>
    </row>
    <row r="819" customHeight="1" spans="14:17">
      <c r="N819" s="20"/>
      <c r="O819" s="20"/>
      <c r="P819" s="15"/>
      <c r="Q819" s="22"/>
    </row>
    <row r="820" customHeight="1" spans="14:17">
      <c r="N820" s="20"/>
      <c r="O820" s="20"/>
      <c r="P820" s="15"/>
      <c r="Q820" s="22"/>
    </row>
    <row r="821" customHeight="1" spans="14:17">
      <c r="N821" s="20"/>
      <c r="O821" s="20"/>
      <c r="P821" s="15"/>
      <c r="Q821" s="22"/>
    </row>
    <row r="822" customHeight="1" spans="14:17">
      <c r="N822" s="20"/>
      <c r="O822" s="20"/>
      <c r="P822" s="15"/>
      <c r="Q822" s="22"/>
    </row>
    <row r="823" customHeight="1" spans="14:17">
      <c r="N823" s="20"/>
      <c r="O823" s="20"/>
      <c r="P823" s="15"/>
      <c r="Q823" s="22"/>
    </row>
    <row r="824" customHeight="1" spans="14:17">
      <c r="N824" s="20"/>
      <c r="O824" s="20"/>
      <c r="P824" s="15"/>
      <c r="Q824" s="22"/>
    </row>
    <row r="825" customHeight="1" spans="14:17">
      <c r="N825" s="20"/>
      <c r="O825" s="20"/>
      <c r="P825" s="15"/>
      <c r="Q825" s="22"/>
    </row>
    <row r="826" customHeight="1" spans="14:17">
      <c r="N826" s="20"/>
      <c r="O826" s="20"/>
      <c r="P826" s="15"/>
      <c r="Q826" s="22"/>
    </row>
    <row r="827" customHeight="1" spans="14:17">
      <c r="N827" s="20"/>
      <c r="O827" s="20"/>
      <c r="P827" s="15"/>
      <c r="Q827" s="22"/>
    </row>
    <row r="828" customHeight="1" spans="14:17">
      <c r="N828" s="20"/>
      <c r="O828" s="20"/>
      <c r="P828" s="15"/>
      <c r="Q828" s="22"/>
    </row>
    <row r="829" customHeight="1" spans="14:17">
      <c r="N829" s="20"/>
      <c r="O829" s="20"/>
      <c r="P829" s="15"/>
      <c r="Q829" s="22"/>
    </row>
    <row r="830" customHeight="1" spans="14:17">
      <c r="N830" s="20"/>
      <c r="O830" s="20"/>
      <c r="P830" s="15"/>
      <c r="Q830" s="22"/>
    </row>
    <row r="831" customHeight="1" spans="14:17">
      <c r="N831" s="20"/>
      <c r="O831" s="20"/>
      <c r="P831" s="15"/>
      <c r="Q831" s="22"/>
    </row>
    <row r="832" customHeight="1" spans="14:17">
      <c r="N832" s="20"/>
      <c r="O832" s="20"/>
      <c r="P832" s="15"/>
      <c r="Q832" s="22"/>
    </row>
    <row r="833" customHeight="1" spans="14:17">
      <c r="N833" s="20"/>
      <c r="O833" s="20"/>
      <c r="P833" s="15"/>
      <c r="Q833" s="22"/>
    </row>
    <row r="834" customHeight="1" spans="14:17">
      <c r="N834" s="20"/>
      <c r="O834" s="20"/>
      <c r="P834" s="15"/>
      <c r="Q834" s="22"/>
    </row>
    <row r="835" customHeight="1" spans="14:17">
      <c r="N835" s="20"/>
      <c r="O835" s="20"/>
      <c r="P835" s="15"/>
      <c r="Q835" s="22"/>
    </row>
    <row r="836" customHeight="1" spans="14:17">
      <c r="N836" s="20"/>
      <c r="O836" s="20"/>
      <c r="P836" s="15"/>
      <c r="Q836" s="22"/>
    </row>
    <row r="837" customHeight="1" spans="14:17">
      <c r="N837" s="20"/>
      <c r="O837" s="20"/>
      <c r="P837" s="15"/>
      <c r="Q837" s="22"/>
    </row>
    <row r="838" customHeight="1" spans="14:17">
      <c r="N838" s="20"/>
      <c r="O838" s="20"/>
      <c r="P838" s="15"/>
      <c r="Q838" s="22"/>
    </row>
    <row r="839" customHeight="1" spans="14:17">
      <c r="N839" s="20"/>
      <c r="O839" s="20"/>
      <c r="P839" s="15"/>
      <c r="Q839" s="22"/>
    </row>
    <row r="840" customHeight="1" spans="14:17">
      <c r="N840" s="20"/>
      <c r="O840" s="20"/>
      <c r="P840" s="15"/>
      <c r="Q840" s="22"/>
    </row>
    <row r="841" customHeight="1" spans="14:17">
      <c r="N841" s="20"/>
      <c r="O841" s="20"/>
      <c r="P841" s="15"/>
      <c r="Q841" s="22"/>
    </row>
    <row r="842" customHeight="1" spans="14:17">
      <c r="N842" s="20"/>
      <c r="O842" s="20"/>
      <c r="P842" s="15"/>
      <c r="Q842" s="22"/>
    </row>
    <row r="843" customHeight="1" spans="14:17">
      <c r="N843" s="20"/>
      <c r="O843" s="20"/>
      <c r="P843" s="15"/>
      <c r="Q843" s="22"/>
    </row>
    <row r="844" customHeight="1" spans="14:17">
      <c r="N844" s="20"/>
      <c r="O844" s="20"/>
      <c r="P844" s="15"/>
      <c r="Q844" s="22"/>
    </row>
    <row r="845" customHeight="1" spans="14:17">
      <c r="N845" s="20"/>
      <c r="O845" s="20"/>
      <c r="P845" s="15"/>
      <c r="Q845" s="22"/>
    </row>
    <row r="846" customHeight="1" spans="14:17">
      <c r="N846" s="20"/>
      <c r="O846" s="20"/>
      <c r="P846" s="15"/>
      <c r="Q846" s="22"/>
    </row>
    <row r="847" customHeight="1" spans="14:17">
      <c r="N847" s="20"/>
      <c r="O847" s="20"/>
      <c r="P847" s="15"/>
      <c r="Q847" s="22"/>
    </row>
    <row r="848" customHeight="1" spans="14:17">
      <c r="N848" s="20"/>
      <c r="O848" s="20"/>
      <c r="P848" s="15"/>
      <c r="Q848" s="22"/>
    </row>
    <row r="849" customHeight="1" spans="14:17">
      <c r="N849" s="20"/>
      <c r="O849" s="20"/>
      <c r="P849" s="15"/>
      <c r="Q849" s="22"/>
    </row>
    <row r="850" customHeight="1" spans="14:17">
      <c r="N850" s="20"/>
      <c r="O850" s="20"/>
      <c r="P850" s="15"/>
      <c r="Q850" s="22"/>
    </row>
    <row r="851" customHeight="1" spans="14:17">
      <c r="N851" s="20"/>
      <c r="O851" s="20"/>
      <c r="P851" s="15"/>
      <c r="Q851" s="22"/>
    </row>
    <row r="852" customHeight="1" spans="14:17">
      <c r="N852" s="20"/>
      <c r="O852" s="20"/>
      <c r="P852" s="15"/>
      <c r="Q852" s="22"/>
    </row>
    <row r="853" customHeight="1" spans="14:17">
      <c r="N853" s="20"/>
      <c r="O853" s="20"/>
      <c r="P853" s="15"/>
      <c r="Q853" s="22"/>
    </row>
    <row r="854" customHeight="1" spans="14:17">
      <c r="N854" s="20"/>
      <c r="O854" s="20"/>
      <c r="P854" s="15"/>
      <c r="Q854" s="22"/>
    </row>
    <row r="855" customHeight="1" spans="14:17">
      <c r="N855" s="20"/>
      <c r="O855" s="20"/>
      <c r="P855" s="15"/>
      <c r="Q855" s="22"/>
    </row>
    <row r="856" customHeight="1" spans="14:17">
      <c r="N856" s="20"/>
      <c r="O856" s="20"/>
      <c r="P856" s="15"/>
      <c r="Q856" s="22"/>
    </row>
    <row r="857" customHeight="1" spans="14:17">
      <c r="N857" s="20"/>
      <c r="O857" s="20"/>
      <c r="P857" s="15"/>
      <c r="Q857" s="22"/>
    </row>
    <row r="858" customHeight="1" spans="14:17">
      <c r="N858" s="20"/>
      <c r="O858" s="20"/>
      <c r="P858" s="15"/>
      <c r="Q858" s="22"/>
    </row>
    <row r="859" customHeight="1" spans="14:17">
      <c r="N859" s="20"/>
      <c r="O859" s="20"/>
      <c r="P859" s="15"/>
      <c r="Q859" s="22"/>
    </row>
    <row r="860" customHeight="1" spans="14:17">
      <c r="N860" s="20"/>
      <c r="O860" s="20"/>
      <c r="P860" s="15"/>
      <c r="Q860" s="22"/>
    </row>
    <row r="861" customHeight="1" spans="14:17">
      <c r="N861" s="20"/>
      <c r="O861" s="20"/>
      <c r="P861" s="15"/>
      <c r="Q861" s="22"/>
    </row>
    <row r="862" customHeight="1" spans="14:17">
      <c r="N862" s="20"/>
      <c r="O862" s="20"/>
      <c r="P862" s="15"/>
      <c r="Q862" s="22"/>
    </row>
    <row r="863" customHeight="1" spans="14:17">
      <c r="N863" s="20"/>
      <c r="O863" s="20"/>
      <c r="P863" s="15"/>
      <c r="Q863" s="22"/>
    </row>
    <row r="864" customHeight="1" spans="14:17">
      <c r="N864" s="20"/>
      <c r="O864" s="20"/>
      <c r="P864" s="15"/>
      <c r="Q864" s="22"/>
    </row>
    <row r="865" customHeight="1" spans="14:17">
      <c r="N865" s="20"/>
      <c r="O865" s="20"/>
      <c r="P865" s="15"/>
      <c r="Q865" s="22"/>
    </row>
    <row r="866" customHeight="1" spans="14:17">
      <c r="N866" s="20"/>
      <c r="O866" s="20"/>
      <c r="P866" s="15"/>
      <c r="Q866" s="22"/>
    </row>
    <row r="867" customHeight="1" spans="14:17">
      <c r="N867" s="20"/>
      <c r="O867" s="20"/>
      <c r="P867" s="15"/>
      <c r="Q867" s="22"/>
    </row>
    <row r="868" customHeight="1" spans="14:17">
      <c r="N868" s="20"/>
      <c r="O868" s="20"/>
      <c r="P868" s="15"/>
      <c r="Q868" s="22"/>
    </row>
    <row r="869" customHeight="1" spans="14:17">
      <c r="N869" s="20"/>
      <c r="O869" s="20"/>
      <c r="P869" s="15"/>
      <c r="Q869" s="22"/>
    </row>
    <row r="870" customHeight="1" spans="14:17">
      <c r="N870" s="20"/>
      <c r="O870" s="20"/>
      <c r="P870" s="15"/>
      <c r="Q870" s="22"/>
    </row>
    <row r="871" customHeight="1" spans="14:17">
      <c r="N871" s="20"/>
      <c r="O871" s="20"/>
      <c r="P871" s="15"/>
      <c r="Q871" s="22"/>
    </row>
    <row r="872" customHeight="1" spans="14:17">
      <c r="N872" s="20"/>
      <c r="O872" s="20"/>
      <c r="P872" s="15"/>
      <c r="Q872" s="22"/>
    </row>
    <row r="873" customHeight="1" spans="14:17">
      <c r="N873" s="20"/>
      <c r="O873" s="20"/>
      <c r="P873" s="15"/>
      <c r="Q873" s="22"/>
    </row>
    <row r="874" customHeight="1" spans="14:17">
      <c r="N874" s="20"/>
      <c r="O874" s="20"/>
      <c r="P874" s="15"/>
      <c r="Q874" s="22"/>
    </row>
    <row r="875" customHeight="1" spans="14:17">
      <c r="N875" s="20"/>
      <c r="O875" s="20"/>
      <c r="P875" s="15"/>
      <c r="Q875" s="22"/>
    </row>
    <row r="876" customHeight="1" spans="14:17">
      <c r="N876" s="20"/>
      <c r="O876" s="20"/>
      <c r="P876" s="15"/>
      <c r="Q876" s="22"/>
    </row>
    <row r="877" customHeight="1" spans="14:17">
      <c r="N877" s="20"/>
      <c r="O877" s="20"/>
      <c r="P877" s="15"/>
      <c r="Q877" s="22"/>
    </row>
    <row r="878" customHeight="1" spans="14:17">
      <c r="N878" s="20"/>
      <c r="O878" s="20"/>
      <c r="P878" s="15"/>
      <c r="Q878" s="22"/>
    </row>
    <row r="879" customHeight="1" spans="14:17">
      <c r="N879" s="20"/>
      <c r="O879" s="20"/>
      <c r="P879" s="15"/>
      <c r="Q879" s="22"/>
    </row>
    <row r="880" customHeight="1" spans="14:17">
      <c r="N880" s="20"/>
      <c r="O880" s="20"/>
      <c r="P880" s="15"/>
      <c r="Q880" s="22"/>
    </row>
    <row r="881" customHeight="1" spans="14:17">
      <c r="N881" s="20"/>
      <c r="O881" s="20"/>
      <c r="P881" s="15"/>
      <c r="Q881" s="22"/>
    </row>
    <row r="882" customHeight="1" spans="14:17">
      <c r="N882" s="20"/>
      <c r="O882" s="20"/>
      <c r="P882" s="15"/>
      <c r="Q882" s="22"/>
    </row>
    <row r="883" customHeight="1" spans="14:17">
      <c r="N883" s="20"/>
      <c r="O883" s="20"/>
      <c r="P883" s="15"/>
      <c r="Q883" s="22"/>
    </row>
    <row r="884" customHeight="1" spans="14:17">
      <c r="N884" s="20"/>
      <c r="O884" s="20"/>
      <c r="P884" s="15"/>
      <c r="Q884" s="22"/>
    </row>
    <row r="885" customHeight="1" spans="14:17">
      <c r="N885" s="20"/>
      <c r="O885" s="20"/>
      <c r="P885" s="15"/>
      <c r="Q885" s="22"/>
    </row>
    <row r="886" customHeight="1" spans="14:17">
      <c r="N886" s="20"/>
      <c r="O886" s="20"/>
      <c r="P886" s="15"/>
      <c r="Q886" s="22"/>
    </row>
    <row r="887" customHeight="1" spans="14:17">
      <c r="N887" s="20"/>
      <c r="O887" s="20"/>
      <c r="P887" s="15"/>
      <c r="Q887" s="22"/>
    </row>
    <row r="888" customHeight="1" spans="14:17">
      <c r="N888" s="20"/>
      <c r="O888" s="20"/>
      <c r="P888" s="15"/>
      <c r="Q888" s="22"/>
    </row>
    <row r="889" customHeight="1" spans="14:17">
      <c r="N889" s="20"/>
      <c r="O889" s="20"/>
      <c r="P889" s="15"/>
      <c r="Q889" s="22"/>
    </row>
    <row r="890" customHeight="1" spans="14:17">
      <c r="N890" s="20"/>
      <c r="O890" s="20"/>
      <c r="P890" s="15"/>
      <c r="Q890" s="22"/>
    </row>
    <row r="891" customHeight="1" spans="14:17">
      <c r="N891" s="20"/>
      <c r="O891" s="20"/>
      <c r="P891" s="15"/>
      <c r="Q891" s="22"/>
    </row>
    <row r="892" customHeight="1" spans="14:17">
      <c r="N892" s="20"/>
      <c r="O892" s="20"/>
      <c r="P892" s="15"/>
      <c r="Q892" s="22"/>
    </row>
    <row r="893" customHeight="1" spans="14:17">
      <c r="N893" s="20"/>
      <c r="O893" s="20"/>
      <c r="P893" s="15"/>
      <c r="Q893" s="22"/>
    </row>
    <row r="894" customHeight="1" spans="14:17">
      <c r="N894" s="20"/>
      <c r="O894" s="20"/>
      <c r="P894" s="15"/>
      <c r="Q894" s="22"/>
    </row>
    <row r="895" customHeight="1" spans="14:17">
      <c r="N895" s="20"/>
      <c r="O895" s="20"/>
      <c r="P895" s="15"/>
      <c r="Q895" s="22"/>
    </row>
    <row r="896" customHeight="1" spans="14:17">
      <c r="N896" s="20"/>
      <c r="O896" s="20"/>
      <c r="P896" s="15"/>
      <c r="Q896" s="22"/>
    </row>
    <row r="897" customHeight="1" spans="14:17">
      <c r="N897" s="20"/>
      <c r="O897" s="20"/>
      <c r="P897" s="15"/>
      <c r="Q897" s="22"/>
    </row>
    <row r="898" customHeight="1" spans="14:17">
      <c r="N898" s="20"/>
      <c r="O898" s="20"/>
      <c r="P898" s="15"/>
      <c r="Q898" s="22"/>
    </row>
    <row r="899" customHeight="1" spans="14:17">
      <c r="N899" s="20"/>
      <c r="O899" s="20"/>
      <c r="P899" s="15"/>
      <c r="Q899" s="22"/>
    </row>
    <row r="900" customHeight="1" spans="14:17">
      <c r="N900" s="20"/>
      <c r="O900" s="20"/>
      <c r="P900" s="15"/>
      <c r="Q900" s="22"/>
    </row>
    <row r="901" customHeight="1" spans="14:17">
      <c r="N901" s="20"/>
      <c r="O901" s="20"/>
      <c r="P901" s="15"/>
      <c r="Q901" s="22"/>
    </row>
    <row r="902" customHeight="1" spans="14:17">
      <c r="N902" s="20"/>
      <c r="O902" s="20"/>
      <c r="P902" s="15"/>
      <c r="Q902" s="22"/>
    </row>
    <row r="903" customHeight="1" spans="14:17">
      <c r="N903" s="20"/>
      <c r="O903" s="20"/>
      <c r="P903" s="15"/>
      <c r="Q903" s="22"/>
    </row>
    <row r="904" customHeight="1" spans="14:17">
      <c r="N904" s="20"/>
      <c r="O904" s="20"/>
      <c r="P904" s="15"/>
      <c r="Q904" s="22"/>
    </row>
    <row r="905" customHeight="1" spans="14:17">
      <c r="N905" s="20"/>
      <c r="O905" s="20"/>
      <c r="P905" s="15"/>
      <c r="Q905" s="22"/>
    </row>
    <row r="906" customHeight="1" spans="14:17">
      <c r="N906" s="20"/>
      <c r="O906" s="20"/>
      <c r="P906" s="15"/>
      <c r="Q906" s="22"/>
    </row>
    <row r="907" customHeight="1" spans="14:17">
      <c r="N907" s="20"/>
      <c r="O907" s="20"/>
      <c r="P907" s="15"/>
      <c r="Q907" s="22"/>
    </row>
    <row r="908" customHeight="1" spans="14:17">
      <c r="N908" s="20"/>
      <c r="O908" s="20"/>
      <c r="P908" s="15"/>
      <c r="Q908" s="22"/>
    </row>
    <row r="909" customHeight="1" spans="14:17">
      <c r="N909" s="20"/>
      <c r="O909" s="20"/>
      <c r="P909" s="15"/>
      <c r="Q909" s="22"/>
    </row>
    <row r="910" customHeight="1" spans="14:17">
      <c r="N910" s="20"/>
      <c r="O910" s="20"/>
      <c r="P910" s="15"/>
      <c r="Q910" s="22"/>
    </row>
    <row r="911" customHeight="1" spans="14:17">
      <c r="N911" s="20"/>
      <c r="O911" s="20"/>
      <c r="P911" s="15"/>
      <c r="Q911" s="22"/>
    </row>
    <row r="912" customHeight="1" spans="14:17">
      <c r="N912" s="20"/>
      <c r="O912" s="20"/>
      <c r="P912" s="15"/>
      <c r="Q912" s="22"/>
    </row>
    <row r="913" customHeight="1" spans="14:17">
      <c r="N913" s="20"/>
      <c r="O913" s="20"/>
      <c r="P913" s="15"/>
      <c r="Q913" s="22"/>
    </row>
    <row r="914" customHeight="1" spans="14:17">
      <c r="N914" s="20"/>
      <c r="O914" s="20"/>
      <c r="P914" s="15"/>
      <c r="Q914" s="22"/>
    </row>
    <row r="915" customHeight="1" spans="14:17">
      <c r="N915" s="20"/>
      <c r="O915" s="20"/>
      <c r="P915" s="15"/>
      <c r="Q915" s="22"/>
    </row>
    <row r="916" customHeight="1" spans="14:17">
      <c r="N916" s="20"/>
      <c r="O916" s="20"/>
      <c r="P916" s="15"/>
      <c r="Q916" s="22"/>
    </row>
    <row r="917" customHeight="1" spans="14:17">
      <c r="N917" s="20"/>
      <c r="O917" s="20"/>
      <c r="P917" s="15"/>
      <c r="Q917" s="22"/>
    </row>
    <row r="918" customHeight="1" spans="14:17">
      <c r="N918" s="20"/>
      <c r="O918" s="20"/>
      <c r="P918" s="15"/>
      <c r="Q918" s="22"/>
    </row>
    <row r="919" customHeight="1" spans="14:17">
      <c r="N919" s="20"/>
      <c r="O919" s="20"/>
      <c r="P919" s="15"/>
      <c r="Q919" s="22"/>
    </row>
    <row r="920" customHeight="1" spans="14:17">
      <c r="N920" s="20"/>
      <c r="O920" s="20"/>
      <c r="P920" s="15"/>
      <c r="Q920" s="22"/>
    </row>
    <row r="921" customHeight="1" spans="14:17">
      <c r="N921" s="20"/>
      <c r="O921" s="20"/>
      <c r="P921" s="15"/>
      <c r="Q921" s="22"/>
    </row>
    <row r="922" customHeight="1" spans="14:17">
      <c r="N922" s="20"/>
      <c r="O922" s="20"/>
      <c r="P922" s="15"/>
      <c r="Q922" s="22"/>
    </row>
    <row r="923" customHeight="1" spans="14:17">
      <c r="N923" s="20"/>
      <c r="O923" s="20"/>
      <c r="P923" s="15"/>
      <c r="Q923" s="22"/>
    </row>
    <row r="924" customHeight="1" spans="14:17">
      <c r="N924" s="20"/>
      <c r="O924" s="20"/>
      <c r="P924" s="15"/>
      <c r="Q924" s="22"/>
    </row>
    <row r="925" customHeight="1" spans="14:17">
      <c r="N925" s="20"/>
      <c r="O925" s="20"/>
      <c r="P925" s="15"/>
      <c r="Q925" s="22"/>
    </row>
    <row r="926" customHeight="1" spans="14:17">
      <c r="N926" s="20"/>
      <c r="O926" s="20"/>
      <c r="P926" s="15"/>
      <c r="Q926" s="22"/>
    </row>
    <row r="927" customHeight="1" spans="14:17">
      <c r="N927" s="20"/>
      <c r="O927" s="20"/>
      <c r="P927" s="15"/>
      <c r="Q927" s="22"/>
    </row>
    <row r="928" customHeight="1" spans="14:17">
      <c r="N928" s="20"/>
      <c r="O928" s="20"/>
      <c r="P928" s="15"/>
      <c r="Q928" s="22"/>
    </row>
    <row r="929" customHeight="1" spans="14:17">
      <c r="N929" s="20"/>
      <c r="O929" s="20"/>
      <c r="P929" s="15"/>
      <c r="Q929" s="22"/>
    </row>
    <row r="930" customHeight="1" spans="14:17">
      <c r="N930" s="20"/>
      <c r="O930" s="20"/>
      <c r="P930" s="15"/>
      <c r="Q930" s="22"/>
    </row>
    <row r="931" customHeight="1" spans="14:17">
      <c r="N931" s="20"/>
      <c r="O931" s="20"/>
      <c r="P931" s="15"/>
      <c r="Q931" s="22"/>
    </row>
    <row r="932" customHeight="1" spans="14:17">
      <c r="N932" s="20"/>
      <c r="O932" s="20"/>
      <c r="P932" s="15"/>
      <c r="Q932" s="22"/>
    </row>
    <row r="933" customHeight="1" spans="14:17">
      <c r="N933" s="20"/>
      <c r="O933" s="20"/>
      <c r="P933" s="15"/>
      <c r="Q933" s="22"/>
    </row>
    <row r="934" customHeight="1" spans="14:17">
      <c r="N934" s="20"/>
      <c r="O934" s="20"/>
      <c r="P934" s="15"/>
      <c r="Q934" s="22"/>
    </row>
    <row r="935" customHeight="1" spans="14:17">
      <c r="N935" s="20"/>
      <c r="O935" s="20"/>
      <c r="P935" s="15"/>
      <c r="Q935" s="22"/>
    </row>
    <row r="936" customHeight="1" spans="14:17">
      <c r="N936" s="20"/>
      <c r="O936" s="20"/>
      <c r="P936" s="15"/>
      <c r="Q936" s="22"/>
    </row>
    <row r="937" customHeight="1" spans="14:17">
      <c r="N937" s="20"/>
      <c r="O937" s="20"/>
      <c r="P937" s="15"/>
      <c r="Q937" s="22"/>
    </row>
    <row r="938" customHeight="1" spans="14:17">
      <c r="N938" s="20"/>
      <c r="O938" s="20"/>
      <c r="P938" s="15"/>
      <c r="Q938" s="22"/>
    </row>
    <row r="939" customHeight="1" spans="14:17">
      <c r="N939" s="20"/>
      <c r="O939" s="20"/>
      <c r="P939" s="15"/>
      <c r="Q939" s="22"/>
    </row>
    <row r="940" customHeight="1" spans="14:17">
      <c r="N940" s="20"/>
      <c r="O940" s="20"/>
      <c r="P940" s="15"/>
      <c r="Q940" s="22"/>
    </row>
    <row r="941" customHeight="1" spans="14:17">
      <c r="N941" s="20"/>
      <c r="O941" s="20"/>
      <c r="P941" s="15"/>
      <c r="Q941" s="22"/>
    </row>
    <row r="942" customHeight="1" spans="14:17">
      <c r="N942" s="20"/>
      <c r="O942" s="20"/>
      <c r="P942" s="15"/>
      <c r="Q942" s="22"/>
    </row>
    <row r="943" customHeight="1" spans="14:17">
      <c r="N943" s="20"/>
      <c r="O943" s="20"/>
      <c r="P943" s="15"/>
      <c r="Q943" s="22"/>
    </row>
    <row r="944" customHeight="1" spans="14:17">
      <c r="N944" s="20"/>
      <c r="O944" s="20"/>
      <c r="P944" s="15"/>
      <c r="Q944" s="22"/>
    </row>
    <row r="945" customHeight="1" spans="14:17">
      <c r="N945" s="20"/>
      <c r="O945" s="20"/>
      <c r="P945" s="15"/>
      <c r="Q945" s="22"/>
    </row>
    <row r="946" customHeight="1" spans="14:17">
      <c r="N946" s="20"/>
      <c r="O946" s="20"/>
      <c r="P946" s="15"/>
      <c r="Q946" s="22"/>
    </row>
    <row r="947" customHeight="1" spans="14:17">
      <c r="N947" s="20"/>
      <c r="O947" s="20"/>
      <c r="P947" s="15"/>
      <c r="Q947" s="22"/>
    </row>
    <row r="948" customHeight="1" spans="14:17">
      <c r="N948" s="20"/>
      <c r="O948" s="20"/>
      <c r="P948" s="15"/>
      <c r="Q948" s="22"/>
    </row>
    <row r="949" customHeight="1" spans="14:17">
      <c r="N949" s="20"/>
      <c r="O949" s="20"/>
      <c r="P949" s="15"/>
      <c r="Q949" s="22"/>
    </row>
    <row r="950" customHeight="1" spans="14:17">
      <c r="N950" s="20"/>
      <c r="O950" s="20"/>
      <c r="P950" s="15"/>
      <c r="Q950" s="22"/>
    </row>
    <row r="951" customHeight="1" spans="14:17">
      <c r="N951" s="20"/>
      <c r="O951" s="20"/>
      <c r="P951" s="15"/>
      <c r="Q951" s="22"/>
    </row>
    <row r="952" customHeight="1" spans="14:17">
      <c r="N952" s="20"/>
      <c r="O952" s="20"/>
      <c r="P952" s="15"/>
      <c r="Q952" s="22"/>
    </row>
    <row r="953" customHeight="1" spans="14:17">
      <c r="N953" s="20"/>
      <c r="O953" s="20"/>
      <c r="P953" s="15"/>
      <c r="Q953" s="22"/>
    </row>
    <row r="954" customHeight="1" spans="14:17">
      <c r="N954" s="20"/>
      <c r="O954" s="20"/>
      <c r="P954" s="15"/>
      <c r="Q954" s="22"/>
    </row>
    <row r="955" customHeight="1" spans="14:17">
      <c r="N955" s="20"/>
      <c r="O955" s="20"/>
      <c r="P955" s="15"/>
      <c r="Q955" s="22"/>
    </row>
    <row r="956" customHeight="1" spans="14:17">
      <c r="N956" s="20"/>
      <c r="O956" s="20"/>
      <c r="P956" s="15"/>
      <c r="Q956" s="22"/>
    </row>
    <row r="957" customHeight="1" spans="14:17">
      <c r="N957" s="20"/>
      <c r="O957" s="20"/>
      <c r="P957" s="15"/>
      <c r="Q957" s="22"/>
    </row>
    <row r="958" customHeight="1" spans="14:17">
      <c r="N958" s="20"/>
      <c r="O958" s="20"/>
      <c r="P958" s="15"/>
      <c r="Q958" s="22"/>
    </row>
    <row r="959" customHeight="1" spans="14:17">
      <c r="N959" s="20"/>
      <c r="O959" s="20"/>
      <c r="P959" s="15"/>
      <c r="Q959" s="22"/>
    </row>
    <row r="960" customHeight="1" spans="14:17">
      <c r="N960" s="20"/>
      <c r="O960" s="20"/>
      <c r="P960" s="15"/>
      <c r="Q960" s="22"/>
    </row>
    <row r="961" customHeight="1" spans="14:17">
      <c r="N961" s="20"/>
      <c r="O961" s="20"/>
      <c r="P961" s="15"/>
      <c r="Q961" s="22"/>
    </row>
    <row r="962" customHeight="1" spans="14:17">
      <c r="N962" s="20"/>
      <c r="O962" s="20"/>
      <c r="P962" s="15"/>
      <c r="Q962" s="22"/>
    </row>
    <row r="963" customHeight="1" spans="14:17">
      <c r="N963" s="20"/>
      <c r="O963" s="20"/>
      <c r="P963" s="15"/>
      <c r="Q963" s="22"/>
    </row>
    <row r="964" customHeight="1" spans="14:17">
      <c r="N964" s="20"/>
      <c r="O964" s="20"/>
      <c r="P964" s="15"/>
      <c r="Q964" s="22"/>
    </row>
    <row r="965" customHeight="1" spans="14:17">
      <c r="N965" s="20"/>
      <c r="O965" s="20"/>
      <c r="P965" s="15"/>
      <c r="Q965" s="22"/>
    </row>
    <row r="966" customHeight="1" spans="14:17">
      <c r="N966" s="20"/>
      <c r="O966" s="20"/>
      <c r="P966" s="15"/>
      <c r="Q966" s="22"/>
    </row>
    <row r="967" customHeight="1" spans="14:17">
      <c r="N967" s="20"/>
      <c r="O967" s="20"/>
      <c r="P967" s="15"/>
      <c r="Q967" s="22"/>
    </row>
    <row r="968" customHeight="1" spans="14:17">
      <c r="N968" s="20"/>
      <c r="O968" s="20"/>
      <c r="P968" s="15"/>
      <c r="Q968" s="22"/>
    </row>
    <row r="969" customHeight="1" spans="14:17">
      <c r="N969" s="20"/>
      <c r="O969" s="20"/>
      <c r="P969" s="15"/>
      <c r="Q969" s="22"/>
    </row>
    <row r="970" customHeight="1" spans="14:17">
      <c r="N970" s="20"/>
      <c r="O970" s="20"/>
      <c r="P970" s="15"/>
      <c r="Q970" s="22"/>
    </row>
    <row r="971" customHeight="1" spans="14:17">
      <c r="N971" s="20"/>
      <c r="O971" s="20"/>
      <c r="P971" s="15"/>
      <c r="Q971" s="22"/>
    </row>
    <row r="972" customHeight="1" spans="14:17">
      <c r="N972" s="20"/>
      <c r="O972" s="20"/>
      <c r="P972" s="15"/>
      <c r="Q972" s="22"/>
    </row>
    <row r="973" customHeight="1" spans="14:17">
      <c r="N973" s="20"/>
      <c r="O973" s="20"/>
      <c r="P973" s="15"/>
      <c r="Q973" s="22"/>
    </row>
    <row r="974" customHeight="1" spans="14:17">
      <c r="N974" s="20"/>
      <c r="O974" s="20"/>
      <c r="P974" s="15"/>
      <c r="Q974" s="22"/>
    </row>
    <row r="975" customHeight="1" spans="14:17">
      <c r="N975" s="20"/>
      <c r="O975" s="20"/>
      <c r="P975" s="15"/>
      <c r="Q975" s="22"/>
    </row>
    <row r="976" customHeight="1" spans="14:17">
      <c r="N976" s="20"/>
      <c r="O976" s="20"/>
      <c r="P976" s="15"/>
      <c r="Q976" s="22"/>
    </row>
    <row r="977" customHeight="1" spans="14:17">
      <c r="N977" s="20"/>
      <c r="O977" s="20"/>
      <c r="P977" s="15"/>
      <c r="Q977" s="22"/>
    </row>
    <row r="978" customHeight="1" spans="14:17">
      <c r="N978" s="20"/>
      <c r="O978" s="20"/>
      <c r="P978" s="15"/>
      <c r="Q978" s="22"/>
    </row>
    <row r="979" customHeight="1" spans="14:17">
      <c r="N979" s="20"/>
      <c r="O979" s="20"/>
      <c r="P979" s="15"/>
      <c r="Q979" s="22"/>
    </row>
    <row r="980" customHeight="1" spans="14:17">
      <c r="N980" s="20"/>
      <c r="O980" s="20"/>
      <c r="P980" s="15"/>
      <c r="Q980" s="22"/>
    </row>
    <row r="981" customHeight="1" spans="14:17">
      <c r="N981" s="20"/>
      <c r="O981" s="20"/>
      <c r="P981" s="15"/>
      <c r="Q981" s="22"/>
    </row>
    <row r="982" customHeight="1" spans="14:17">
      <c r="N982" s="20"/>
      <c r="O982" s="20"/>
      <c r="P982" s="15"/>
      <c r="Q982" s="22"/>
    </row>
    <row r="983" customHeight="1" spans="14:17">
      <c r="N983" s="20"/>
      <c r="O983" s="20"/>
      <c r="P983" s="15"/>
      <c r="Q983" s="22"/>
    </row>
    <row r="984" customHeight="1" spans="14:17">
      <c r="N984" s="20"/>
      <c r="O984" s="20"/>
      <c r="P984" s="15"/>
      <c r="Q984" s="22"/>
    </row>
    <row r="985" customHeight="1" spans="14:17">
      <c r="N985" s="20"/>
      <c r="O985" s="20"/>
      <c r="P985" s="15"/>
      <c r="Q985" s="22"/>
    </row>
    <row r="986" customHeight="1" spans="14:17">
      <c r="N986" s="20"/>
      <c r="O986" s="20"/>
      <c r="P986" s="15"/>
      <c r="Q986" s="22"/>
    </row>
    <row r="987" customHeight="1" spans="14:17">
      <c r="N987" s="20"/>
      <c r="O987" s="20"/>
      <c r="P987" s="15"/>
      <c r="Q987" s="22"/>
    </row>
    <row r="988" customHeight="1" spans="14:17">
      <c r="N988" s="20"/>
      <c r="O988" s="20"/>
      <c r="P988" s="15"/>
      <c r="Q988" s="22"/>
    </row>
    <row r="989" customHeight="1" spans="14:17">
      <c r="N989" s="20"/>
      <c r="O989" s="20"/>
      <c r="P989" s="15"/>
      <c r="Q989" s="22"/>
    </row>
    <row r="990" customHeight="1" spans="14:17">
      <c r="N990" s="20"/>
      <c r="O990" s="20"/>
      <c r="P990" s="15"/>
      <c r="Q990" s="22"/>
    </row>
    <row r="991" customHeight="1" spans="14:17">
      <c r="N991" s="20"/>
      <c r="O991" s="20"/>
      <c r="P991" s="15"/>
      <c r="Q991" s="22"/>
    </row>
    <row r="992" customHeight="1" spans="14:17">
      <c r="N992" s="20"/>
      <c r="O992" s="20"/>
      <c r="P992" s="15"/>
      <c r="Q992" s="22"/>
    </row>
    <row r="993" customHeight="1" spans="14:17">
      <c r="N993" s="20"/>
      <c r="O993" s="20"/>
      <c r="P993" s="15"/>
      <c r="Q993" s="22"/>
    </row>
    <row r="994" customHeight="1" spans="14:17">
      <c r="N994" s="20"/>
      <c r="O994" s="20"/>
      <c r="P994" s="15"/>
      <c r="Q994" s="22"/>
    </row>
    <row r="995" customHeight="1" spans="14:17">
      <c r="N995" s="20"/>
      <c r="O995" s="20"/>
      <c r="P995" s="15"/>
      <c r="Q995" s="22"/>
    </row>
    <row r="996" customHeight="1" spans="14:17">
      <c r="N996" s="20"/>
      <c r="O996" s="20"/>
      <c r="P996" s="15"/>
      <c r="Q996" s="22"/>
    </row>
    <row r="997" customHeight="1" spans="14:17">
      <c r="N997" s="20"/>
      <c r="O997" s="20"/>
      <c r="P997" s="15"/>
      <c r="Q997" s="22"/>
    </row>
    <row r="998" customHeight="1" spans="14:17">
      <c r="N998" s="20"/>
      <c r="O998" s="20"/>
      <c r="P998" s="15"/>
      <c r="Q998" s="22"/>
    </row>
    <row r="999" customHeight="1" spans="14:17">
      <c r="N999" s="20"/>
      <c r="O999" s="20"/>
      <c r="P999" s="15"/>
      <c r="Q999" s="22"/>
    </row>
    <row r="1000" customHeight="1" spans="14:17">
      <c r="N1000" s="20"/>
      <c r="O1000" s="20"/>
      <c r="P1000" s="15"/>
      <c r="Q1000" s="22"/>
    </row>
  </sheetData>
  <autoFilter xmlns:etc="http://www.wps.cn/officeDocument/2017/etCustomData" ref="A1:J53" etc:filterBottomFollowUsedRange="0">
    <extLst/>
  </autoFilter>
  <dataValidations count="1">
    <dataValidation type="list" allowBlank="1" sqref="B2:B53">
      <formula1>"COMPRA,VENDA"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ativos</vt:lpstr>
      <vt:lpstr>dAtivos</vt:lpstr>
      <vt:lpstr>FI-INFRA</vt:lpstr>
      <vt:lpstr>Cálculo Taxas</vt:lpstr>
      <vt:lpstr>fOperacoes</vt:lpstr>
      <vt:lpstr>Vendas</vt:lpstr>
      <vt:lpstr>PM_2</vt:lpstr>
      <vt:lpstr>Ações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marqu</cp:lastModifiedBy>
  <dcterms:created xsi:type="dcterms:W3CDTF">2025-01-04T22:19:49Z</dcterms:created>
  <dcterms:modified xsi:type="dcterms:W3CDTF">2025-01-04T22:51:11Z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42A6747B462449F989B943F97430DCC1_13</vt:lpwstr>
  </property>
  <property fmtid="{D5CDD505-2E9C-101B-9397-08002B2CF9AE}" pid="3" name="KSOProductBuildVer">
    <vt:lpwstr>1046-12.2.0.19307</vt:lpwstr>
  </property>
</Properties>
</file>