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20940" windowHeight="10110"/>
  </bookViews>
  <sheets>
    <sheet name="Maloney" sheetId="8" r:id="rId1"/>
    <sheet name="Figueroa" sheetId="7" r:id="rId2"/>
    <sheet name="AlHabsi" sheetId="6" r:id="rId3"/>
    <sheet name="Four games" sheetId="4" r:id="rId4"/>
    <sheet name="Three games" sheetId="1" r:id="rId5"/>
    <sheet name="Average Goals Calc" sheetId="2" r:id="rId6"/>
    <sheet name="Six Games" sheetId="3" r:id="rId7"/>
    <sheet name="Mignolet Points" sheetId="5" r:id="rId8"/>
  </sheets>
  <calcPr calcId="125725"/>
</workbook>
</file>

<file path=xl/calcChain.xml><?xml version="1.0" encoding="utf-8"?>
<calcChain xmlns="http://schemas.openxmlformats.org/spreadsheetml/2006/main">
  <c r="K40" i="8"/>
  <c r="K36"/>
  <c r="H34"/>
  <c r="K39"/>
  <c r="K38"/>
  <c r="K37"/>
  <c r="V45"/>
  <c r="V46" s="1"/>
  <c r="T45"/>
  <c r="T46" s="1"/>
  <c r="W42"/>
  <c r="W43" s="1"/>
  <c r="U42"/>
  <c r="U43" s="1"/>
  <c r="R42"/>
  <c r="R43" s="1"/>
  <c r="Z41"/>
  <c r="AB41" s="1"/>
  <c r="Z39"/>
  <c r="AB39" s="1"/>
  <c r="Z37"/>
  <c r="Z36"/>
  <c r="Z42" s="1"/>
  <c r="U34"/>
  <c r="AA33"/>
  <c r="Z33"/>
  <c r="Z34" s="1"/>
  <c r="B10"/>
  <c r="B9"/>
  <c r="D8"/>
  <c r="B8"/>
  <c r="B13" s="1"/>
  <c r="B7"/>
  <c r="B14" s="1"/>
  <c r="I37" i="7"/>
  <c r="H37"/>
  <c r="G37"/>
  <c r="I39"/>
  <c r="I40"/>
  <c r="I41"/>
  <c r="I42"/>
  <c r="I43"/>
  <c r="I44"/>
  <c r="I45"/>
  <c r="I46"/>
  <c r="I47"/>
  <c r="G39"/>
  <c r="G40"/>
  <c r="G41"/>
  <c r="G42"/>
  <c r="G43"/>
  <c r="G44"/>
  <c r="G45"/>
  <c r="G46"/>
  <c r="G47"/>
  <c r="I38"/>
  <c r="G38"/>
  <c r="H40"/>
  <c r="H41"/>
  <c r="H42"/>
  <c r="H43"/>
  <c r="H44"/>
  <c r="H45"/>
  <c r="H46"/>
  <c r="H47"/>
  <c r="H38"/>
  <c r="H39"/>
  <c r="AD43" i="6"/>
  <c r="I36"/>
  <c r="J36" s="1"/>
  <c r="I35"/>
  <c r="J35" s="1"/>
  <c r="I34"/>
  <c r="H34"/>
  <c r="I34" i="7"/>
  <c r="K36"/>
  <c r="J35"/>
  <c r="J36"/>
  <c r="H34"/>
  <c r="I36"/>
  <c r="I35"/>
  <c r="P49"/>
  <c r="Z49"/>
  <c r="Y49"/>
  <c r="X49"/>
  <c r="Q47" i="3"/>
  <c r="O47"/>
  <c r="U46"/>
  <c r="W46"/>
  <c r="V46"/>
  <c r="R45"/>
  <c r="Q45"/>
  <c r="P45"/>
  <c r="O45"/>
  <c r="N45"/>
  <c r="M45"/>
  <c r="R44"/>
  <c r="Q44"/>
  <c r="P44"/>
  <c r="O44"/>
  <c r="N44"/>
  <c r="M44"/>
  <c r="R43"/>
  <c r="Q43"/>
  <c r="P43"/>
  <c r="O43"/>
  <c r="N43"/>
  <c r="M43"/>
  <c r="R42"/>
  <c r="Q42"/>
  <c r="P42"/>
  <c r="O42"/>
  <c r="N42"/>
  <c r="M42"/>
  <c r="R41"/>
  <c r="Q41"/>
  <c r="P41"/>
  <c r="O41"/>
  <c r="N41"/>
  <c r="M41"/>
  <c r="R40"/>
  <c r="Q40"/>
  <c r="P40"/>
  <c r="O40"/>
  <c r="N40"/>
  <c r="M40"/>
  <c r="R39"/>
  <c r="Q39"/>
  <c r="P39"/>
  <c r="O39"/>
  <c r="N39"/>
  <c r="M39"/>
  <c r="R38"/>
  <c r="Q38"/>
  <c r="P38"/>
  <c r="O38"/>
  <c r="N38"/>
  <c r="M38"/>
  <c r="R37"/>
  <c r="Q37"/>
  <c r="P37"/>
  <c r="O37"/>
  <c r="N37"/>
  <c r="M37"/>
  <c r="R36"/>
  <c r="Q36"/>
  <c r="P36"/>
  <c r="O36"/>
  <c r="N36"/>
  <c r="M36"/>
  <c r="R35"/>
  <c r="Q35"/>
  <c r="P35"/>
  <c r="O35"/>
  <c r="N35"/>
  <c r="M35"/>
  <c r="R34"/>
  <c r="Q34"/>
  <c r="P34"/>
  <c r="O34"/>
  <c r="N34"/>
  <c r="M34"/>
  <c r="R33"/>
  <c r="Q33"/>
  <c r="P33"/>
  <c r="O33"/>
  <c r="N33"/>
  <c r="M33"/>
  <c r="R32"/>
  <c r="Q32"/>
  <c r="P32"/>
  <c r="O32"/>
  <c r="N32"/>
  <c r="M32"/>
  <c r="R31"/>
  <c r="Q31"/>
  <c r="P31"/>
  <c r="O31"/>
  <c r="N31"/>
  <c r="M31"/>
  <c r="R30"/>
  <c r="Q30"/>
  <c r="P30"/>
  <c r="O30"/>
  <c r="N30"/>
  <c r="M30"/>
  <c r="R29"/>
  <c r="Q29"/>
  <c r="P29"/>
  <c r="O29"/>
  <c r="N29"/>
  <c r="M29"/>
  <c r="R28"/>
  <c r="Q28"/>
  <c r="P28"/>
  <c r="O28"/>
  <c r="N28"/>
  <c r="M28"/>
  <c r="K30"/>
  <c r="L30"/>
  <c r="K32"/>
  <c r="L32"/>
  <c r="K34"/>
  <c r="L34"/>
  <c r="K36"/>
  <c r="L36"/>
  <c r="K38"/>
  <c r="L38"/>
  <c r="K40"/>
  <c r="L40"/>
  <c r="K42"/>
  <c r="L42"/>
  <c r="K44"/>
  <c r="L44"/>
  <c r="L28"/>
  <c r="K28"/>
  <c r="Y14" i="2"/>
  <c r="X14"/>
  <c r="X9"/>
  <c r="W13"/>
  <c r="U13"/>
  <c r="T13"/>
  <c r="V13" s="1"/>
  <c r="R13"/>
  <c r="Q13"/>
  <c r="S13" s="1"/>
  <c r="P13"/>
  <c r="N13"/>
  <c r="M13"/>
  <c r="O13" s="1"/>
  <c r="K13"/>
  <c r="J13"/>
  <c r="L13" s="1"/>
  <c r="P10"/>
  <c r="M10"/>
  <c r="K10"/>
  <c r="J10"/>
  <c r="L10" s="1"/>
  <c r="W10"/>
  <c r="W11"/>
  <c r="W12"/>
  <c r="T10"/>
  <c r="T11"/>
  <c r="T12"/>
  <c r="Q10"/>
  <c r="Q11"/>
  <c r="Q12"/>
  <c r="W9"/>
  <c r="P9"/>
  <c r="Y9" s="1"/>
  <c r="T9"/>
  <c r="Q9"/>
  <c r="U10"/>
  <c r="U11"/>
  <c r="U12"/>
  <c r="R10"/>
  <c r="R11"/>
  <c r="R12"/>
  <c r="U9"/>
  <c r="R9"/>
  <c r="K9"/>
  <c r="P12"/>
  <c r="N12"/>
  <c r="M12"/>
  <c r="O12" s="1"/>
  <c r="K12"/>
  <c r="J12"/>
  <c r="L12" s="1"/>
  <c r="P11"/>
  <c r="N11"/>
  <c r="M11"/>
  <c r="O11" s="1"/>
  <c r="K11"/>
  <c r="J11"/>
  <c r="L11" s="1"/>
  <c r="N10"/>
  <c r="N9"/>
  <c r="M9"/>
  <c r="O9" s="1"/>
  <c r="J9"/>
  <c r="L9" s="1"/>
  <c r="J7"/>
  <c r="P7"/>
  <c r="N7"/>
  <c r="M7"/>
  <c r="K7"/>
  <c r="O7" s="1"/>
  <c r="K5"/>
  <c r="J5"/>
  <c r="L5" s="1"/>
  <c r="J4"/>
  <c r="K4"/>
  <c r="J2"/>
  <c r="W56" i="7"/>
  <c r="W55"/>
  <c r="V55"/>
  <c r="U55"/>
  <c r="T55"/>
  <c r="S55"/>
  <c r="AC57"/>
  <c r="AD43"/>
  <c r="AD58"/>
  <c r="AC55"/>
  <c r="AC56"/>
  <c r="AC59"/>
  <c r="AC58"/>
  <c r="AB54"/>
  <c r="AB53"/>
  <c r="AB52"/>
  <c r="AB51"/>
  <c r="AB50"/>
  <c r="AA54"/>
  <c r="AA53"/>
  <c r="AA52"/>
  <c r="AA51"/>
  <c r="AA50"/>
  <c r="Z54"/>
  <c r="Z53"/>
  <c r="Z52"/>
  <c r="Z51"/>
  <c r="Z50"/>
  <c r="Y54"/>
  <c r="Y53"/>
  <c r="Y52"/>
  <c r="Y51"/>
  <c r="Y50"/>
  <c r="X54"/>
  <c r="X53"/>
  <c r="X52"/>
  <c r="X51"/>
  <c r="X50"/>
  <c r="AB49"/>
  <c r="AA49"/>
  <c r="V45"/>
  <c r="V46" s="1"/>
  <c r="T45"/>
  <c r="T46" s="1"/>
  <c r="W42"/>
  <c r="W43" s="1"/>
  <c r="U42"/>
  <c r="U43" s="1"/>
  <c r="R42"/>
  <c r="R43" s="1"/>
  <c r="Z41"/>
  <c r="AB41" s="1"/>
  <c r="Z39"/>
  <c r="AB39" s="1"/>
  <c r="Z37"/>
  <c r="Z36"/>
  <c r="Z42" s="1"/>
  <c r="U34"/>
  <c r="AA33"/>
  <c r="Z33"/>
  <c r="Z34" s="1"/>
  <c r="B10"/>
  <c r="B9"/>
  <c r="D8"/>
  <c r="B8"/>
  <c r="B13" s="1"/>
  <c r="B7"/>
  <c r="B14" s="1"/>
  <c r="AA33" i="6"/>
  <c r="Z33"/>
  <c r="Z34"/>
  <c r="V45"/>
  <c r="V46" s="1"/>
  <c r="T45"/>
  <c r="T46" s="1"/>
  <c r="W42"/>
  <c r="W43" s="1"/>
  <c r="U42"/>
  <c r="U43" s="1"/>
  <c r="R42"/>
  <c r="R43" s="1"/>
  <c r="Z41"/>
  <c r="AB41" s="1"/>
  <c r="AB42" s="1"/>
  <c r="Z39"/>
  <c r="AB39" s="1"/>
  <c r="Z37"/>
  <c r="Z36"/>
  <c r="Z42" s="1"/>
  <c r="U34"/>
  <c r="B10"/>
  <c r="B9"/>
  <c r="D8"/>
  <c r="B8"/>
  <c r="B13" s="1"/>
  <c r="B7"/>
  <c r="B14" s="1"/>
  <c r="AD43" i="5"/>
  <c r="X43"/>
  <c r="V47"/>
  <c r="V45"/>
  <c r="V46"/>
  <c r="T47"/>
  <c r="T46"/>
  <c r="T45"/>
  <c r="U44"/>
  <c r="W44"/>
  <c r="W42"/>
  <c r="U42"/>
  <c r="X42"/>
  <c r="W43"/>
  <c r="U43"/>
  <c r="R43"/>
  <c r="R42"/>
  <c r="B9"/>
  <c r="B8"/>
  <c r="D8"/>
  <c r="Z37"/>
  <c r="Z41"/>
  <c r="AB41" s="1"/>
  <c r="Z39"/>
  <c r="AB39" s="1"/>
  <c r="Z36"/>
  <c r="AB36" s="1"/>
  <c r="AB42" s="1"/>
  <c r="Z34"/>
  <c r="Z33"/>
  <c r="U34"/>
  <c r="AA33"/>
  <c r="B10"/>
  <c r="B13"/>
  <c r="B7"/>
  <c r="B14" s="1"/>
  <c r="B14" i="4"/>
  <c r="B13"/>
  <c r="J21"/>
  <c r="I21"/>
  <c r="H21"/>
  <c r="G21"/>
  <c r="F21"/>
  <c r="E21"/>
  <c r="D21"/>
  <c r="C21"/>
  <c r="H18"/>
  <c r="G18"/>
  <c r="F18"/>
  <c r="E18"/>
  <c r="D18"/>
  <c r="C18"/>
  <c r="B6"/>
  <c r="B5"/>
  <c r="B10" s="1"/>
  <c r="B14" i="1"/>
  <c r="B13"/>
  <c r="B35"/>
  <c r="B36"/>
  <c r="B34"/>
  <c r="B33"/>
  <c r="B32"/>
  <c r="K31"/>
  <c r="K30"/>
  <c r="K29"/>
  <c r="K28"/>
  <c r="K27"/>
  <c r="K26"/>
  <c r="K25"/>
  <c r="H30"/>
  <c r="J30"/>
  <c r="I30"/>
  <c r="G30"/>
  <c r="F30"/>
  <c r="E30"/>
  <c r="D30"/>
  <c r="C30"/>
  <c r="J29"/>
  <c r="I29"/>
  <c r="H29"/>
  <c r="G29"/>
  <c r="F29"/>
  <c r="E29"/>
  <c r="D29"/>
  <c r="C29"/>
  <c r="J28"/>
  <c r="I28"/>
  <c r="H28"/>
  <c r="G28"/>
  <c r="F28"/>
  <c r="E28"/>
  <c r="D28"/>
  <c r="C28"/>
  <c r="J27"/>
  <c r="I27"/>
  <c r="H27"/>
  <c r="G27"/>
  <c r="F27"/>
  <c r="J26"/>
  <c r="I26"/>
  <c r="H26"/>
  <c r="G26"/>
  <c r="F26"/>
  <c r="F25"/>
  <c r="E26"/>
  <c r="D27"/>
  <c r="E27"/>
  <c r="D26"/>
  <c r="C27"/>
  <c r="C26"/>
  <c r="J25"/>
  <c r="I25"/>
  <c r="H25"/>
  <c r="G25"/>
  <c r="E25"/>
  <c r="D25"/>
  <c r="C25"/>
  <c r="J21"/>
  <c r="B21"/>
  <c r="I21"/>
  <c r="B10"/>
  <c r="B9"/>
  <c r="B8"/>
  <c r="B7"/>
  <c r="J21" i="8" l="1"/>
  <c r="I21"/>
  <c r="H21"/>
  <c r="G21"/>
  <c r="F21"/>
  <c r="E21"/>
  <c r="D21"/>
  <c r="C21"/>
  <c r="B21" s="1"/>
  <c r="H18"/>
  <c r="G18"/>
  <c r="F18"/>
  <c r="E18"/>
  <c r="D18"/>
  <c r="C18"/>
  <c r="W44"/>
  <c r="U44"/>
  <c r="X43"/>
  <c r="T47"/>
  <c r="V47"/>
  <c r="AB36"/>
  <c r="AB42" s="1"/>
  <c r="X42"/>
  <c r="K36" i="6"/>
  <c r="Y13" i="2"/>
  <c r="X13"/>
  <c r="S11"/>
  <c r="V11"/>
  <c r="O10"/>
  <c r="X11"/>
  <c r="S9"/>
  <c r="V9"/>
  <c r="S12"/>
  <c r="S10"/>
  <c r="V12"/>
  <c r="V10"/>
  <c r="X12"/>
  <c r="X10"/>
  <c r="Y12"/>
  <c r="Y11"/>
  <c r="Y10"/>
  <c r="L4"/>
  <c r="L7"/>
  <c r="J21" i="7"/>
  <c r="I21"/>
  <c r="H21"/>
  <c r="G21"/>
  <c r="F21"/>
  <c r="E21"/>
  <c r="D21"/>
  <c r="C21"/>
  <c r="B21" s="1"/>
  <c r="H18"/>
  <c r="G18"/>
  <c r="F18"/>
  <c r="E18"/>
  <c r="D18"/>
  <c r="C18"/>
  <c r="W44"/>
  <c r="U44"/>
  <c r="X43"/>
  <c r="T47"/>
  <c r="V47"/>
  <c r="AB36"/>
  <c r="AB42" s="1"/>
  <c r="X42"/>
  <c r="J21" i="6"/>
  <c r="I21"/>
  <c r="H21"/>
  <c r="G21"/>
  <c r="F21"/>
  <c r="E21"/>
  <c r="D21"/>
  <c r="C21"/>
  <c r="B21" s="1"/>
  <c r="H18"/>
  <c r="G18"/>
  <c r="F18"/>
  <c r="E18"/>
  <c r="D18"/>
  <c r="C18"/>
  <c r="W44"/>
  <c r="U44"/>
  <c r="X43"/>
  <c r="T47"/>
  <c r="V47"/>
  <c r="AB36"/>
  <c r="X42"/>
  <c r="J21" i="5"/>
  <c r="I21"/>
  <c r="H21"/>
  <c r="G21"/>
  <c r="F21"/>
  <c r="E21"/>
  <c r="D21"/>
  <c r="C21"/>
  <c r="B21" s="1"/>
  <c r="H18"/>
  <c r="G18"/>
  <c r="F18"/>
  <c r="E18"/>
  <c r="D18"/>
  <c r="C18"/>
  <c r="B8" i="4"/>
  <c r="B7"/>
  <c r="B9"/>
  <c r="B21"/>
  <c r="D21" i="1"/>
  <c r="E21"/>
  <c r="F21"/>
  <c r="G21"/>
  <c r="H21"/>
  <c r="C21"/>
  <c r="D18"/>
  <c r="E18"/>
  <c r="F18"/>
  <c r="G18"/>
  <c r="H18"/>
  <c r="C18"/>
  <c r="B18" s="1"/>
  <c r="J25" i="8" l="1"/>
  <c r="I25"/>
  <c r="H25"/>
  <c r="G25"/>
  <c r="F25"/>
  <c r="E25"/>
  <c r="D25"/>
  <c r="C25"/>
  <c r="B18"/>
  <c r="J26"/>
  <c r="I26"/>
  <c r="H26"/>
  <c r="G26"/>
  <c r="F26"/>
  <c r="D26"/>
  <c r="C26"/>
  <c r="J27"/>
  <c r="I27"/>
  <c r="H27"/>
  <c r="G27"/>
  <c r="F27"/>
  <c r="E27"/>
  <c r="D27"/>
  <c r="C27"/>
  <c r="K27" s="1"/>
  <c r="J28"/>
  <c r="I28"/>
  <c r="H28"/>
  <c r="G28"/>
  <c r="F28"/>
  <c r="E28"/>
  <c r="D28"/>
  <c r="C28"/>
  <c r="K28" s="1"/>
  <c r="AD43"/>
  <c r="J29"/>
  <c r="I29"/>
  <c r="H29"/>
  <c r="G29"/>
  <c r="F29"/>
  <c r="E29"/>
  <c r="D29"/>
  <c r="C29"/>
  <c r="K29" s="1"/>
  <c r="J30"/>
  <c r="I30"/>
  <c r="H30"/>
  <c r="G30"/>
  <c r="F30"/>
  <c r="E30"/>
  <c r="D30"/>
  <c r="C30"/>
  <c r="K30" s="1"/>
  <c r="E26"/>
  <c r="J25" i="7"/>
  <c r="I25"/>
  <c r="H25"/>
  <c r="G25"/>
  <c r="F25"/>
  <c r="E25"/>
  <c r="D25"/>
  <c r="C25"/>
  <c r="B18"/>
  <c r="J26"/>
  <c r="I26"/>
  <c r="H26"/>
  <c r="G26"/>
  <c r="F26"/>
  <c r="D26"/>
  <c r="C26"/>
  <c r="J27"/>
  <c r="I27"/>
  <c r="H27"/>
  <c r="G27"/>
  <c r="F27"/>
  <c r="E27"/>
  <c r="D27"/>
  <c r="C27"/>
  <c r="K27" s="1"/>
  <c r="J28"/>
  <c r="I28"/>
  <c r="H28"/>
  <c r="G28"/>
  <c r="F28"/>
  <c r="E28"/>
  <c r="D28"/>
  <c r="C28"/>
  <c r="K28" s="1"/>
  <c r="J29"/>
  <c r="I29"/>
  <c r="H29"/>
  <c r="G29"/>
  <c r="F29"/>
  <c r="E29"/>
  <c r="D29"/>
  <c r="C29"/>
  <c r="K29" s="1"/>
  <c r="J30"/>
  <c r="I30"/>
  <c r="H30"/>
  <c r="G30"/>
  <c r="F30"/>
  <c r="E30"/>
  <c r="D30"/>
  <c r="C30"/>
  <c r="K30" s="1"/>
  <c r="E26"/>
  <c r="J25" i="6"/>
  <c r="I25"/>
  <c r="H25"/>
  <c r="G25"/>
  <c r="F25"/>
  <c r="E25"/>
  <c r="D25"/>
  <c r="C25"/>
  <c r="B18"/>
  <c r="J26"/>
  <c r="I26"/>
  <c r="H26"/>
  <c r="G26"/>
  <c r="F26"/>
  <c r="D26"/>
  <c r="C26"/>
  <c r="J27"/>
  <c r="I27"/>
  <c r="H27"/>
  <c r="G27"/>
  <c r="F27"/>
  <c r="E27"/>
  <c r="D27"/>
  <c r="C27"/>
  <c r="K27" s="1"/>
  <c r="J28"/>
  <c r="I28"/>
  <c r="H28"/>
  <c r="G28"/>
  <c r="F28"/>
  <c r="E28"/>
  <c r="D28"/>
  <c r="C28"/>
  <c r="K28" s="1"/>
  <c r="J29"/>
  <c r="I29"/>
  <c r="H29"/>
  <c r="G29"/>
  <c r="F29"/>
  <c r="E29"/>
  <c r="D29"/>
  <c r="C29"/>
  <c r="K29" s="1"/>
  <c r="J30"/>
  <c r="I30"/>
  <c r="H30"/>
  <c r="G30"/>
  <c r="F30"/>
  <c r="E30"/>
  <c r="D30"/>
  <c r="C30"/>
  <c r="K30" s="1"/>
  <c r="E26"/>
  <c r="J25" i="5"/>
  <c r="I25"/>
  <c r="H25"/>
  <c r="G25"/>
  <c r="F25"/>
  <c r="E25"/>
  <c r="D25"/>
  <c r="C25"/>
  <c r="B18"/>
  <c r="J26"/>
  <c r="I26"/>
  <c r="H26"/>
  <c r="G26"/>
  <c r="F26"/>
  <c r="D26"/>
  <c r="C26"/>
  <c r="J27"/>
  <c r="I27"/>
  <c r="H27"/>
  <c r="G27"/>
  <c r="F27"/>
  <c r="E27"/>
  <c r="D27"/>
  <c r="C27"/>
  <c r="K27" s="1"/>
  <c r="J28"/>
  <c r="I28"/>
  <c r="H28"/>
  <c r="G28"/>
  <c r="F28"/>
  <c r="E28"/>
  <c r="D28"/>
  <c r="C28"/>
  <c r="K28" s="1"/>
  <c r="J29"/>
  <c r="I29"/>
  <c r="H29"/>
  <c r="G29"/>
  <c r="F29"/>
  <c r="E29"/>
  <c r="D29"/>
  <c r="C29"/>
  <c r="K29" s="1"/>
  <c r="J30"/>
  <c r="I30"/>
  <c r="H30"/>
  <c r="G30"/>
  <c r="F30"/>
  <c r="E30"/>
  <c r="D30"/>
  <c r="C30"/>
  <c r="K30" s="1"/>
  <c r="E26"/>
  <c r="J25" i="4"/>
  <c r="I25"/>
  <c r="H25"/>
  <c r="G25"/>
  <c r="F25"/>
  <c r="E25"/>
  <c r="D25"/>
  <c r="C25"/>
  <c r="B18"/>
  <c r="J26"/>
  <c r="I26"/>
  <c r="H26"/>
  <c r="G26"/>
  <c r="F26"/>
  <c r="D26"/>
  <c r="C26"/>
  <c r="E26"/>
  <c r="J27"/>
  <c r="I27"/>
  <c r="H27"/>
  <c r="G27"/>
  <c r="F27"/>
  <c r="E27"/>
  <c r="D27"/>
  <c r="C27"/>
  <c r="K27" s="1"/>
  <c r="J28"/>
  <c r="I28"/>
  <c r="H28"/>
  <c r="G28"/>
  <c r="F28"/>
  <c r="E28"/>
  <c r="D28"/>
  <c r="C28"/>
  <c r="K28" s="1"/>
  <c r="J29"/>
  <c r="I29"/>
  <c r="H29"/>
  <c r="G29"/>
  <c r="F29"/>
  <c r="E29"/>
  <c r="D29"/>
  <c r="C29"/>
  <c r="K29" s="1"/>
  <c r="J30"/>
  <c r="I30"/>
  <c r="H30"/>
  <c r="G30"/>
  <c r="F30"/>
  <c r="E30"/>
  <c r="D30"/>
  <c r="C30"/>
  <c r="K30" s="1"/>
  <c r="B34" i="8" l="1"/>
  <c r="K26"/>
  <c r="B36"/>
  <c r="B35"/>
  <c r="B33"/>
  <c r="K25"/>
  <c r="K31" s="1"/>
  <c r="B32"/>
  <c r="B34" i="7"/>
  <c r="K26"/>
  <c r="B36"/>
  <c r="B35"/>
  <c r="B33"/>
  <c r="K25"/>
  <c r="K31" s="1"/>
  <c r="B32"/>
  <c r="B34" i="6"/>
  <c r="K26"/>
  <c r="B36"/>
  <c r="B35"/>
  <c r="B33"/>
  <c r="K25"/>
  <c r="K31" s="1"/>
  <c r="B32"/>
  <c r="B34" i="5"/>
  <c r="K26"/>
  <c r="B36"/>
  <c r="B35"/>
  <c r="B33"/>
  <c r="K25"/>
  <c r="K31" s="1"/>
  <c r="B32"/>
  <c r="B34" i="4"/>
  <c r="K26"/>
  <c r="B36"/>
  <c r="B35"/>
  <c r="B33"/>
  <c r="K25"/>
  <c r="K31" s="1"/>
  <c r="B32"/>
  <c r="Z42" i="5"/>
</calcChain>
</file>

<file path=xl/sharedStrings.xml><?xml version="1.0" encoding="utf-8"?>
<sst xmlns="http://schemas.openxmlformats.org/spreadsheetml/2006/main" count="467" uniqueCount="192">
  <si>
    <t>Wigan</t>
  </si>
  <si>
    <t>Wolves</t>
  </si>
  <si>
    <t>Total Goals Scored</t>
  </si>
  <si>
    <t>Total Goals Conceded</t>
  </si>
  <si>
    <t>Average Home Goals Scored</t>
  </si>
  <si>
    <t>Average Away Goals Scored</t>
  </si>
  <si>
    <t>Wigan Attack Strength</t>
  </si>
  <si>
    <t>Wolves Attack Strength</t>
  </si>
  <si>
    <t>Wigan Defence Weakness</t>
  </si>
  <si>
    <t>Wolves Defence Weakness</t>
  </si>
  <si>
    <t>Average Goals Scored</t>
  </si>
  <si>
    <t>Average Goals Conceded</t>
  </si>
  <si>
    <t>For Wolves v Wigan</t>
  </si>
  <si>
    <t>Wolves to score</t>
  </si>
  <si>
    <t>Wigan to score</t>
  </si>
  <si>
    <t>Poisson</t>
  </si>
  <si>
    <t>SUM</t>
  </si>
  <si>
    <t>Wigan win</t>
  </si>
  <si>
    <t>Wigan clean sheet</t>
  </si>
  <si>
    <t>Wolves win</t>
  </si>
  <si>
    <t>Wolves clean sheet</t>
  </si>
  <si>
    <t>Most likely score</t>
  </si>
  <si>
    <t>Wolves 1-2 Wigan</t>
  </si>
  <si>
    <t>Draw</t>
  </si>
  <si>
    <t>Southampton Attack</t>
  </si>
  <si>
    <t>Wigan Attack</t>
  </si>
  <si>
    <t>Southampton Defence</t>
  </si>
  <si>
    <t>Wigan Defence</t>
  </si>
  <si>
    <t>For Southampton - Wigan</t>
  </si>
  <si>
    <t>Southampton to score</t>
  </si>
  <si>
    <t>Southampton</t>
  </si>
  <si>
    <t>Southampton win</t>
  </si>
  <si>
    <t>Southampton clean sheet</t>
  </si>
  <si>
    <t>Southampton 1-2 Wigan</t>
  </si>
  <si>
    <t>ARS(A) 0-0</t>
  </si>
  <si>
    <t>SWA(A) 2-2</t>
  </si>
  <si>
    <t>LIV(H) 1-1</t>
  </si>
  <si>
    <t>WHU(A) 1-1</t>
  </si>
  <si>
    <t>WIG(H) 1-0</t>
  </si>
  <si>
    <t>MCI(A) 0-3</t>
  </si>
  <si>
    <t>NEW(H) 1-1</t>
  </si>
  <si>
    <t>STK(A) 0-0</t>
  </si>
  <si>
    <t>AVL(H) 0-1</t>
  </si>
  <si>
    <t>EVE(A) 1-2</t>
  </si>
  <si>
    <t>FUL(A) 3-1</t>
  </si>
  <si>
    <t>WBA(H) 2-4</t>
  </si>
  <si>
    <t>QPR(H) 0-0</t>
  </si>
  <si>
    <t>NOR(A) 1-2</t>
  </si>
  <si>
    <t>CHE(H) 1-3</t>
  </si>
  <si>
    <t>RDG(H) 3-0</t>
  </si>
  <si>
    <t>MUN(A) 1-3</t>
  </si>
  <si>
    <t>SOU(A) 1-0</t>
  </si>
  <si>
    <t>MCI(H) 1-0</t>
  </si>
  <si>
    <t>TOT(H) 1-2</t>
  </si>
  <si>
    <t>LIV(A) 0-3</t>
  </si>
  <si>
    <t>WHU(H) 3-0</t>
  </si>
  <si>
    <t>WIG(A) 3-2</t>
  </si>
  <si>
    <t>SWA(H) 0-0</t>
  </si>
  <si>
    <t>RDG(A) 1-2</t>
  </si>
  <si>
    <t>ARS(H) 0-1</t>
  </si>
  <si>
    <t>WBA(A) 1-2</t>
  </si>
  <si>
    <t>FUL(H) 2-2</t>
  </si>
  <si>
    <t>QPR(A) 1-3</t>
  </si>
  <si>
    <t>NOR(H) 1-1</t>
  </si>
  <si>
    <t>MUN(H) 0-1</t>
  </si>
  <si>
    <t>Date of match</t>
  </si>
  <si>
    <t>Round</t>
  </si>
  <si>
    <t>Oppponent</t>
  </si>
  <si>
    <t>Minutes Played</t>
  </si>
  <si>
    <t>Goals Scored</t>
  </si>
  <si>
    <t>Assists</t>
  </si>
  <si>
    <t>Clean Sheets</t>
  </si>
  <si>
    <t>Goals Conceded</t>
  </si>
  <si>
    <t>Own Goals</t>
  </si>
  <si>
    <t>Penalties Saved</t>
  </si>
  <si>
    <t>Penalties Missed</t>
  </si>
  <si>
    <t>Yellow Cards</t>
  </si>
  <si>
    <t>Red Cards</t>
  </si>
  <si>
    <t>Saves</t>
  </si>
  <si>
    <t>Bonus</t>
  </si>
  <si>
    <t>Points</t>
  </si>
  <si>
    <t>al habsi expects</t>
  </si>
  <si>
    <t>CHE(H) 0-2</t>
  </si>
  <si>
    <t>SOU(A) 2-0</t>
  </si>
  <si>
    <t>STK(H) 2-2</t>
  </si>
  <si>
    <t>MUN(A) 0-4</t>
  </si>
  <si>
    <t>FUL(H) 1-2</t>
  </si>
  <si>
    <t>SUN(A) 0-1</t>
  </si>
  <si>
    <t>EVE(H) 2-2</t>
  </si>
  <si>
    <t>SWA(A) 1-2</t>
  </si>
  <si>
    <t>WHU(H) 2-1</t>
  </si>
  <si>
    <t>TOT(A) 1-0</t>
  </si>
  <si>
    <t>WBA(H) 1-2</t>
  </si>
  <si>
    <t>RDG(H) 3-2</t>
  </si>
  <si>
    <t>MCI(H) 0-2</t>
  </si>
  <si>
    <t>NEW(A) 0-3</t>
  </si>
  <si>
    <t>QPR(H) 2-2</t>
  </si>
  <si>
    <t>AVL(A) 3-0</t>
  </si>
  <si>
    <t>MUN(H) 0-4</t>
  </si>
  <si>
    <t>FUL(A) 1-1</t>
  </si>
  <si>
    <t>SUN(H) 2-3</t>
  </si>
  <si>
    <t>STK(A) 2-2</t>
  </si>
  <si>
    <t>SOU(H) 2-2</t>
  </si>
  <si>
    <t>CHE(A) 1-4</t>
  </si>
  <si>
    <t>RDG(A) 3-0</t>
  </si>
  <si>
    <t>LIV(H) 0-4</t>
  </si>
  <si>
    <t>NEW(H) 2-1</t>
  </si>
  <si>
    <t>NOR(H) 1-0</t>
  </si>
  <si>
    <t>goals</t>
  </si>
  <si>
    <t>assists</t>
  </si>
  <si>
    <t>clean sheet</t>
  </si>
  <si>
    <t>bonus</t>
  </si>
  <si>
    <t>home goals</t>
  </si>
  <si>
    <t>away goals</t>
  </si>
  <si>
    <t>number of results</t>
  </si>
  <si>
    <t>away goals baseline</t>
  </si>
  <si>
    <t>home goals baseline</t>
  </si>
  <si>
    <t>average goals</t>
  </si>
  <si>
    <t>attack strength</t>
  </si>
  <si>
    <t>average teamB conceded</t>
  </si>
  <si>
    <t>average teamA scored</t>
  </si>
  <si>
    <t>defence weakness</t>
  </si>
  <si>
    <t>expected home goals</t>
  </si>
  <si>
    <t>expected away goals</t>
  </si>
  <si>
    <t>home team scored</t>
  </si>
  <si>
    <t>home team conceded</t>
  </si>
  <si>
    <t>home team games</t>
  </si>
  <si>
    <t>away team scored</t>
  </si>
  <si>
    <t>home conceded</t>
  </si>
  <si>
    <t>average home team conceded</t>
  </si>
  <si>
    <t>away conceded</t>
  </si>
  <si>
    <t>away games</t>
  </si>
  <si>
    <t>home defence weakness</t>
  </si>
  <si>
    <t>average away team scored</t>
  </si>
  <si>
    <t>average away team conceded</t>
  </si>
  <si>
    <t>away defence weakness</t>
  </si>
  <si>
    <t>average home team goals</t>
  </si>
  <si>
    <t>home team attack strength</t>
  </si>
  <si>
    <t>Team</t>
  </si>
  <si>
    <t>Games</t>
  </si>
  <si>
    <t>For</t>
  </si>
  <si>
    <t>Against</t>
  </si>
  <si>
    <t>Attack</t>
  </si>
  <si>
    <t>Defence</t>
  </si>
  <si>
    <t>Liverpool</t>
  </si>
  <si>
    <t>Chelsea</t>
  </si>
  <si>
    <t>Blackburn</t>
  </si>
  <si>
    <t>Everton</t>
  </si>
  <si>
    <t>Aston Villa</t>
  </si>
  <si>
    <t>Tottenham</t>
  </si>
  <si>
    <t>Bolton</t>
  </si>
  <si>
    <t>West Brom</t>
  </si>
  <si>
    <t>Fulham</t>
  </si>
  <si>
    <t>Sunderland</t>
  </si>
  <si>
    <t>Newcastle</t>
  </si>
  <si>
    <t>Man City</t>
  </si>
  <si>
    <t>Man United</t>
  </si>
  <si>
    <t>Swansea</t>
  </si>
  <si>
    <t>QPR</t>
  </si>
  <si>
    <t>Stoke</t>
  </si>
  <si>
    <t>Arsenal</t>
  </si>
  <si>
    <t>Norwich</t>
  </si>
  <si>
    <t>Average Home Goals</t>
  </si>
  <si>
    <t>Average Away Goals</t>
  </si>
  <si>
    <t>everton newcastle</t>
  </si>
  <si>
    <t>home scored</t>
  </si>
  <si>
    <t>home played</t>
  </si>
  <si>
    <t>away scored</t>
  </si>
  <si>
    <t>away played</t>
  </si>
  <si>
    <t>Total Home Goals</t>
  </si>
  <si>
    <t>Total Away Goals</t>
  </si>
  <si>
    <t>Games Played</t>
  </si>
  <si>
    <t>played</t>
  </si>
  <si>
    <t>west brom arsenal</t>
  </si>
  <si>
    <t>stoke bolton</t>
  </si>
  <si>
    <t>norwich aston villa</t>
  </si>
  <si>
    <t>chelsea blackburn</t>
  </si>
  <si>
    <t>swansea liverpool</t>
  </si>
  <si>
    <t>man city qpr</t>
  </si>
  <si>
    <t>tottenham fulham</t>
  </si>
  <si>
    <t>sunderland man united</t>
  </si>
  <si>
    <t>expected home</t>
  </si>
  <si>
    <t>expected away</t>
  </si>
  <si>
    <t>predicted</t>
  </si>
  <si>
    <t>actual</t>
  </si>
  <si>
    <t>correct score</t>
  </si>
  <si>
    <t>correct result</t>
  </si>
  <si>
    <t>x</t>
  </si>
  <si>
    <t>correct goals</t>
  </si>
  <si>
    <t>standard deviation of goals</t>
  </si>
  <si>
    <t>defensive points</t>
  </si>
  <si>
    <t>Kone</t>
  </si>
</sst>
</file>

<file path=xl/styles.xml><?xml version="1.0" encoding="utf-8"?>
<styleSheet xmlns="http://schemas.openxmlformats.org/spreadsheetml/2006/main">
  <numFmts count="1">
    <numFmt numFmtId="8" formatCode="&quot;£&quot;#,##0.00;[Red]\-&quot;£&quot;#,##0.00"/>
  </numFmts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 textRotation="90"/>
    </xf>
    <xf numFmtId="22" fontId="0" fillId="0" borderId="0" xfId="0" applyNumberFormat="1"/>
    <xf numFmtId="8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 vertical="center" textRotation="9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47"/>
  <sheetViews>
    <sheetView tabSelected="1" topLeftCell="A19" workbookViewId="0">
      <selection activeCell="B40" sqref="B40"/>
    </sheetView>
  </sheetViews>
  <sheetFormatPr defaultRowHeight="15"/>
  <cols>
    <col min="1" max="1" width="26.28515625" bestFit="1" customWidth="1"/>
    <col min="2" max="3" width="9.140625" customWidth="1"/>
    <col min="15" max="15" width="13" customWidth="1"/>
    <col min="19" max="19" width="12.42578125" bestFit="1" customWidth="1"/>
    <col min="22" max="22" width="9.140625" customWidth="1"/>
  </cols>
  <sheetData>
    <row r="1" spans="1:31">
      <c r="A1" t="s">
        <v>2</v>
      </c>
      <c r="B1">
        <v>5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  <c r="Z1" t="s">
        <v>78</v>
      </c>
      <c r="AA1" t="s">
        <v>79</v>
      </c>
      <c r="AE1" t="s">
        <v>80</v>
      </c>
    </row>
    <row r="2" spans="1:31">
      <c r="A2" t="s">
        <v>3</v>
      </c>
      <c r="B2">
        <v>5</v>
      </c>
      <c r="M2" s="2">
        <v>41505.5625</v>
      </c>
      <c r="N2">
        <v>1</v>
      </c>
      <c r="O2" t="s">
        <v>82</v>
      </c>
      <c r="P2">
        <v>90</v>
      </c>
      <c r="Q2">
        <v>0</v>
      </c>
      <c r="R2">
        <v>0</v>
      </c>
      <c r="S2">
        <v>0</v>
      </c>
      <c r="T2">
        <v>2</v>
      </c>
      <c r="U2">
        <v>0</v>
      </c>
      <c r="V2">
        <v>0</v>
      </c>
      <c r="W2">
        <v>0</v>
      </c>
      <c r="X2">
        <v>0</v>
      </c>
      <c r="Y2">
        <v>0</v>
      </c>
      <c r="Z2">
        <v>1</v>
      </c>
      <c r="AA2">
        <v>0</v>
      </c>
      <c r="AB2">
        <v>3</v>
      </c>
      <c r="AC2">
        <v>0</v>
      </c>
      <c r="AD2" s="3">
        <v>5</v>
      </c>
      <c r="AE2">
        <v>1</v>
      </c>
    </row>
    <row r="3" spans="1:31">
      <c r="A3" t="s">
        <v>4</v>
      </c>
      <c r="B3">
        <v>3</v>
      </c>
      <c r="M3" s="2">
        <v>41511.625</v>
      </c>
      <c r="N3">
        <v>2</v>
      </c>
      <c r="O3" t="s">
        <v>83</v>
      </c>
      <c r="P3">
        <v>90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6</v>
      </c>
      <c r="AA3">
        <v>2</v>
      </c>
      <c r="AB3">
        <v>23</v>
      </c>
      <c r="AC3">
        <v>-3440</v>
      </c>
      <c r="AD3" s="3">
        <v>5</v>
      </c>
      <c r="AE3">
        <v>10</v>
      </c>
    </row>
    <row r="4" spans="1:31">
      <c r="A4" t="s">
        <v>5</v>
      </c>
      <c r="B4">
        <v>2</v>
      </c>
      <c r="M4" s="2">
        <v>41518.625</v>
      </c>
      <c r="N4">
        <v>3</v>
      </c>
      <c r="O4" t="s">
        <v>84</v>
      </c>
      <c r="P4">
        <v>90</v>
      </c>
      <c r="Q4">
        <v>0</v>
      </c>
      <c r="R4">
        <v>0</v>
      </c>
      <c r="S4">
        <v>0</v>
      </c>
      <c r="T4">
        <v>2</v>
      </c>
      <c r="U4">
        <v>0</v>
      </c>
      <c r="V4">
        <v>0</v>
      </c>
      <c r="W4">
        <v>0</v>
      </c>
      <c r="X4">
        <v>0</v>
      </c>
      <c r="Y4">
        <v>0</v>
      </c>
      <c r="Z4">
        <v>5</v>
      </c>
      <c r="AA4">
        <v>0</v>
      </c>
      <c r="AB4">
        <v>11</v>
      </c>
      <c r="AC4">
        <v>17162</v>
      </c>
      <c r="AD4" s="3">
        <v>5</v>
      </c>
      <c r="AE4">
        <v>2</v>
      </c>
    </row>
    <row r="5" spans="1:31">
      <c r="A5" t="s">
        <v>10</v>
      </c>
      <c r="B5">
        <v>2.5</v>
      </c>
      <c r="M5" s="2">
        <v>41532.625</v>
      </c>
      <c r="N5">
        <v>4</v>
      </c>
      <c r="O5" t="s">
        <v>85</v>
      </c>
      <c r="P5">
        <v>90</v>
      </c>
      <c r="Q5">
        <v>0</v>
      </c>
      <c r="R5">
        <v>0</v>
      </c>
      <c r="S5">
        <v>0</v>
      </c>
      <c r="T5">
        <v>4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2</v>
      </c>
      <c r="AC5">
        <v>-894</v>
      </c>
      <c r="AD5" s="3">
        <v>5</v>
      </c>
      <c r="AE5">
        <v>5</v>
      </c>
    </row>
    <row r="6" spans="1:31">
      <c r="A6" t="s">
        <v>11</v>
      </c>
      <c r="B6">
        <v>2.5</v>
      </c>
      <c r="M6" s="2">
        <v>41539.625</v>
      </c>
      <c r="N6">
        <v>5</v>
      </c>
      <c r="O6" t="s">
        <v>86</v>
      </c>
      <c r="P6">
        <v>90</v>
      </c>
      <c r="Q6">
        <v>0</v>
      </c>
      <c r="R6">
        <v>0</v>
      </c>
      <c r="S6">
        <v>0</v>
      </c>
      <c r="T6">
        <v>2</v>
      </c>
      <c r="U6">
        <v>0</v>
      </c>
      <c r="V6">
        <v>0</v>
      </c>
      <c r="W6">
        <v>0</v>
      </c>
      <c r="X6">
        <v>0</v>
      </c>
      <c r="Y6">
        <v>0</v>
      </c>
      <c r="Z6">
        <v>6</v>
      </c>
      <c r="AA6">
        <v>0</v>
      </c>
      <c r="AB6">
        <v>8</v>
      </c>
      <c r="AC6">
        <v>2934</v>
      </c>
      <c r="AD6" s="3">
        <v>5</v>
      </c>
      <c r="AE6">
        <v>3</v>
      </c>
    </row>
    <row r="7" spans="1:31">
      <c r="A7" t="s">
        <v>6</v>
      </c>
      <c r="B7">
        <f>3/B5</f>
        <v>1.2</v>
      </c>
      <c r="M7" s="2">
        <v>41546.625</v>
      </c>
      <c r="N7">
        <v>6</v>
      </c>
      <c r="O7" t="s">
        <v>87</v>
      </c>
      <c r="P7">
        <v>90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2</v>
      </c>
      <c r="AA7">
        <v>0</v>
      </c>
      <c r="AB7">
        <v>4</v>
      </c>
      <c r="AC7">
        <v>79</v>
      </c>
      <c r="AD7" s="3">
        <v>5</v>
      </c>
      <c r="AE7">
        <v>2</v>
      </c>
    </row>
    <row r="8" spans="1:31">
      <c r="A8" t="s">
        <v>7</v>
      </c>
      <c r="B8">
        <f>2/B5</f>
        <v>0.8</v>
      </c>
      <c r="D8">
        <f>2/B5</f>
        <v>0.8</v>
      </c>
      <c r="M8" s="2">
        <v>41553.625</v>
      </c>
      <c r="N8">
        <v>7</v>
      </c>
      <c r="O8" t="s">
        <v>88</v>
      </c>
      <c r="P8">
        <v>90</v>
      </c>
      <c r="Q8">
        <v>0</v>
      </c>
      <c r="R8">
        <v>0</v>
      </c>
      <c r="S8">
        <v>0</v>
      </c>
      <c r="T8">
        <v>2</v>
      </c>
      <c r="U8">
        <v>0</v>
      </c>
      <c r="V8">
        <v>0</v>
      </c>
      <c r="W8">
        <v>0</v>
      </c>
      <c r="X8">
        <v>0</v>
      </c>
      <c r="Y8">
        <v>0</v>
      </c>
      <c r="Z8">
        <v>5</v>
      </c>
      <c r="AA8">
        <v>0</v>
      </c>
      <c r="AB8">
        <v>11</v>
      </c>
      <c r="AC8">
        <v>-889</v>
      </c>
      <c r="AD8" s="3">
        <v>5</v>
      </c>
      <c r="AE8">
        <v>2</v>
      </c>
    </row>
    <row r="9" spans="1:31">
      <c r="A9" t="s">
        <v>8</v>
      </c>
      <c r="B9">
        <f>2/B6</f>
        <v>0.8</v>
      </c>
      <c r="M9" s="2">
        <v>41567.625</v>
      </c>
      <c r="N9">
        <v>8</v>
      </c>
      <c r="O9" t="s">
        <v>89</v>
      </c>
      <c r="P9">
        <v>90</v>
      </c>
      <c r="Q9">
        <v>0</v>
      </c>
      <c r="R9">
        <v>0</v>
      </c>
      <c r="S9">
        <v>0</v>
      </c>
      <c r="T9">
        <v>2</v>
      </c>
      <c r="U9">
        <v>0</v>
      </c>
      <c r="V9">
        <v>0</v>
      </c>
      <c r="W9">
        <v>0</v>
      </c>
      <c r="X9">
        <v>0</v>
      </c>
      <c r="Y9">
        <v>0</v>
      </c>
      <c r="Z9">
        <v>6</v>
      </c>
      <c r="AA9">
        <v>0</v>
      </c>
      <c r="AB9">
        <v>10</v>
      </c>
      <c r="AC9">
        <v>-834</v>
      </c>
      <c r="AD9" s="3">
        <v>5</v>
      </c>
      <c r="AE9">
        <v>3</v>
      </c>
    </row>
    <row r="10" spans="1:31">
      <c r="A10" t="s">
        <v>9</v>
      </c>
      <c r="B10">
        <f>3/B5</f>
        <v>1.2</v>
      </c>
      <c r="M10" s="2">
        <v>41574.625</v>
      </c>
      <c r="N10">
        <v>9</v>
      </c>
      <c r="O10" t="s">
        <v>90</v>
      </c>
      <c r="P10">
        <v>90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4</v>
      </c>
      <c r="AA10">
        <v>0</v>
      </c>
      <c r="AB10">
        <v>18</v>
      </c>
      <c r="AC10">
        <v>-1121</v>
      </c>
      <c r="AD10" s="3">
        <v>5</v>
      </c>
      <c r="AE10">
        <v>3</v>
      </c>
    </row>
    <row r="11" spans="1:31">
      <c r="M11" s="2">
        <v>41581.625</v>
      </c>
      <c r="N11">
        <v>10</v>
      </c>
      <c r="O11" t="s">
        <v>91</v>
      </c>
      <c r="P11">
        <v>90</v>
      </c>
      <c r="Q11">
        <v>0</v>
      </c>
      <c r="R11">
        <v>0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5</v>
      </c>
      <c r="AA11">
        <v>0</v>
      </c>
      <c r="AB11">
        <v>20</v>
      </c>
      <c r="AC11">
        <v>-2137</v>
      </c>
      <c r="AD11" s="3">
        <v>5</v>
      </c>
      <c r="AE11">
        <v>7</v>
      </c>
    </row>
    <row r="12" spans="1:31">
      <c r="A12" t="s">
        <v>12</v>
      </c>
      <c r="M12" s="2">
        <v>41588.625</v>
      </c>
      <c r="N12">
        <v>11</v>
      </c>
      <c r="O12" t="s">
        <v>92</v>
      </c>
      <c r="P12">
        <v>90</v>
      </c>
      <c r="Q12">
        <v>0</v>
      </c>
      <c r="R12">
        <v>0</v>
      </c>
      <c r="S12">
        <v>0</v>
      </c>
      <c r="T12">
        <v>2</v>
      </c>
      <c r="U12">
        <v>0</v>
      </c>
      <c r="V12">
        <v>0</v>
      </c>
      <c r="W12">
        <v>0</v>
      </c>
      <c r="X12">
        <v>0</v>
      </c>
      <c r="Y12">
        <v>0</v>
      </c>
      <c r="Z12">
        <v>3</v>
      </c>
      <c r="AA12">
        <v>0</v>
      </c>
      <c r="AB12">
        <v>5</v>
      </c>
      <c r="AC12">
        <v>2670</v>
      </c>
      <c r="AD12" s="3">
        <v>5</v>
      </c>
      <c r="AE12">
        <v>2</v>
      </c>
    </row>
    <row r="13" spans="1:31">
      <c r="A13" t="s">
        <v>13</v>
      </c>
      <c r="B13">
        <f>B3*B8*B9</f>
        <v>1.9200000000000004</v>
      </c>
      <c r="M13" s="2">
        <v>41595.625</v>
      </c>
      <c r="N13">
        <v>12</v>
      </c>
      <c r="O13" t="s">
        <v>54</v>
      </c>
      <c r="P13">
        <v>90</v>
      </c>
      <c r="Q13">
        <v>0</v>
      </c>
      <c r="R13">
        <v>0</v>
      </c>
      <c r="S13">
        <v>0</v>
      </c>
      <c r="T13">
        <v>3</v>
      </c>
      <c r="U13">
        <v>0</v>
      </c>
      <c r="V13">
        <v>0</v>
      </c>
      <c r="W13">
        <v>0</v>
      </c>
      <c r="X13">
        <v>0</v>
      </c>
      <c r="Y13">
        <v>0</v>
      </c>
      <c r="Z13">
        <v>2</v>
      </c>
      <c r="AA13">
        <v>0</v>
      </c>
      <c r="AB13">
        <v>10</v>
      </c>
      <c r="AC13">
        <v>-957</v>
      </c>
      <c r="AD13" s="3">
        <v>5</v>
      </c>
      <c r="AE13">
        <v>1</v>
      </c>
    </row>
    <row r="14" spans="1:31">
      <c r="A14" t="s">
        <v>14</v>
      </c>
      <c r="B14">
        <f>B4*B7*B10</f>
        <v>2.88</v>
      </c>
      <c r="M14" s="2">
        <v>41602.625</v>
      </c>
      <c r="N14">
        <v>13</v>
      </c>
      <c r="O14" t="s">
        <v>93</v>
      </c>
      <c r="P14">
        <v>90</v>
      </c>
      <c r="Q14">
        <v>0</v>
      </c>
      <c r="R14">
        <v>0</v>
      </c>
      <c r="S14">
        <v>0</v>
      </c>
      <c r="T14">
        <v>2</v>
      </c>
      <c r="U14">
        <v>1</v>
      </c>
      <c r="V14">
        <v>0</v>
      </c>
      <c r="W14">
        <v>0</v>
      </c>
      <c r="X14">
        <v>0</v>
      </c>
      <c r="Y14">
        <v>0</v>
      </c>
      <c r="Z14">
        <v>4</v>
      </c>
      <c r="AA14">
        <v>0</v>
      </c>
      <c r="AB14">
        <v>17</v>
      </c>
      <c r="AC14">
        <v>848</v>
      </c>
      <c r="AD14" s="3">
        <v>5</v>
      </c>
      <c r="AE14">
        <v>0</v>
      </c>
    </row>
    <row r="15" spans="1:31">
      <c r="M15" s="2">
        <v>41606.833333333336</v>
      </c>
      <c r="N15">
        <v>14</v>
      </c>
      <c r="O15" t="s">
        <v>94</v>
      </c>
      <c r="P15">
        <v>90</v>
      </c>
      <c r="Q15">
        <v>0</v>
      </c>
      <c r="R15">
        <v>0</v>
      </c>
      <c r="S15">
        <v>0</v>
      </c>
      <c r="T15">
        <v>2</v>
      </c>
      <c r="U15">
        <v>0</v>
      </c>
      <c r="V15">
        <v>0</v>
      </c>
      <c r="W15">
        <v>0</v>
      </c>
      <c r="X15">
        <v>0</v>
      </c>
      <c r="Y15">
        <v>0</v>
      </c>
      <c r="Z15">
        <v>3</v>
      </c>
      <c r="AA15">
        <v>0</v>
      </c>
      <c r="AB15">
        <v>5</v>
      </c>
      <c r="AC15">
        <v>-2735</v>
      </c>
      <c r="AD15" s="3">
        <v>5</v>
      </c>
      <c r="AE15">
        <v>2</v>
      </c>
    </row>
    <row r="16" spans="1:31">
      <c r="A16" t="s">
        <v>15</v>
      </c>
      <c r="C16" s="9" t="s">
        <v>1</v>
      </c>
      <c r="D16" s="9"/>
      <c r="E16" s="9"/>
      <c r="F16" s="9"/>
      <c r="G16" s="9"/>
      <c r="H16" s="9"/>
      <c r="M16" s="2">
        <v>41611.833333333336</v>
      </c>
      <c r="N16">
        <v>15</v>
      </c>
      <c r="O16" t="s">
        <v>95</v>
      </c>
      <c r="P16">
        <v>90</v>
      </c>
      <c r="Q16">
        <v>0</v>
      </c>
      <c r="R16">
        <v>0</v>
      </c>
      <c r="S16">
        <v>0</v>
      </c>
      <c r="T16">
        <v>3</v>
      </c>
      <c r="U16">
        <v>0</v>
      </c>
      <c r="V16">
        <v>0</v>
      </c>
      <c r="W16">
        <v>0</v>
      </c>
      <c r="X16">
        <v>0</v>
      </c>
      <c r="Y16">
        <v>0</v>
      </c>
      <c r="Z16">
        <v>5</v>
      </c>
      <c r="AA16">
        <v>0</v>
      </c>
      <c r="AB16">
        <v>8</v>
      </c>
      <c r="AC16">
        <v>1715</v>
      </c>
      <c r="AD16" s="3">
        <v>5</v>
      </c>
      <c r="AE16">
        <v>2</v>
      </c>
    </row>
    <row r="17" spans="1:31">
      <c r="A17" s="1"/>
      <c r="B17" t="s">
        <v>16</v>
      </c>
      <c r="C17">
        <v>0</v>
      </c>
      <c r="D17">
        <v>1</v>
      </c>
      <c r="E17">
        <v>2</v>
      </c>
      <c r="F17">
        <v>3</v>
      </c>
      <c r="G17">
        <v>4</v>
      </c>
      <c r="H17">
        <v>5</v>
      </c>
      <c r="M17" s="2">
        <v>41616.625</v>
      </c>
      <c r="N17">
        <v>16</v>
      </c>
      <c r="O17" t="s">
        <v>96</v>
      </c>
      <c r="P17">
        <v>90</v>
      </c>
      <c r="Q17">
        <v>0</v>
      </c>
      <c r="R17">
        <v>0</v>
      </c>
      <c r="S17">
        <v>0</v>
      </c>
      <c r="T17">
        <v>2</v>
      </c>
      <c r="U17">
        <v>0</v>
      </c>
      <c r="V17">
        <v>0</v>
      </c>
      <c r="W17">
        <v>0</v>
      </c>
      <c r="X17">
        <v>0</v>
      </c>
      <c r="Y17">
        <v>0</v>
      </c>
      <c r="Z17">
        <v>2</v>
      </c>
      <c r="AA17">
        <v>0</v>
      </c>
      <c r="AB17">
        <v>8</v>
      </c>
      <c r="AC17">
        <v>154</v>
      </c>
      <c r="AD17" s="3">
        <v>5</v>
      </c>
      <c r="AE17">
        <v>1</v>
      </c>
    </row>
    <row r="18" spans="1:31">
      <c r="B18">
        <f>SUM(C18:H18)</f>
        <v>0.9861534547738493</v>
      </c>
      <c r="C18">
        <f t="shared" ref="C18:H18" si="0">POISSON(C17,$B$13,FALSE)</f>
        <v>0.14660696213035052</v>
      </c>
      <c r="D18">
        <f t="shared" si="0"/>
        <v>0.28148536729027301</v>
      </c>
      <c r="E18">
        <f t="shared" si="0"/>
        <v>0.27022595259866217</v>
      </c>
      <c r="F18">
        <f t="shared" si="0"/>
        <v>0.17294460966314382</v>
      </c>
      <c r="G18">
        <f t="shared" si="0"/>
        <v>8.3013412638309039E-2</v>
      </c>
      <c r="H18">
        <f t="shared" si="0"/>
        <v>3.1877150453110681E-2</v>
      </c>
      <c r="M18" s="2">
        <v>41623.625</v>
      </c>
      <c r="N18">
        <v>17</v>
      </c>
      <c r="O18" t="s">
        <v>47</v>
      </c>
      <c r="P18">
        <v>90</v>
      </c>
      <c r="Q18">
        <v>0</v>
      </c>
      <c r="R18">
        <v>0</v>
      </c>
      <c r="S18">
        <v>0</v>
      </c>
      <c r="T18">
        <v>2</v>
      </c>
      <c r="U18">
        <v>0</v>
      </c>
      <c r="V18">
        <v>0</v>
      </c>
      <c r="W18">
        <v>0</v>
      </c>
      <c r="X18">
        <v>0</v>
      </c>
      <c r="Y18">
        <v>0</v>
      </c>
      <c r="Z18">
        <v>6</v>
      </c>
      <c r="AA18">
        <v>0</v>
      </c>
      <c r="AB18">
        <v>5</v>
      </c>
      <c r="AC18">
        <v>-1463</v>
      </c>
      <c r="AD18" s="3">
        <v>5</v>
      </c>
      <c r="AE18">
        <v>3</v>
      </c>
    </row>
    <row r="19" spans="1:31">
      <c r="C19" s="9" t="s">
        <v>0</v>
      </c>
      <c r="D19" s="9"/>
      <c r="E19" s="9"/>
      <c r="F19" s="9"/>
      <c r="G19" s="9"/>
      <c r="H19" s="9"/>
      <c r="M19" s="2">
        <v>41630.53125</v>
      </c>
      <c r="N19">
        <v>18</v>
      </c>
      <c r="O19" t="s">
        <v>59</v>
      </c>
      <c r="P19">
        <v>90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3</v>
      </c>
      <c r="AA19">
        <v>0</v>
      </c>
      <c r="AB19">
        <v>4</v>
      </c>
      <c r="AC19">
        <v>-1902</v>
      </c>
      <c r="AD19" s="3">
        <v>5</v>
      </c>
      <c r="AE19">
        <v>3</v>
      </c>
    </row>
    <row r="20" spans="1:31">
      <c r="C20">
        <v>0</v>
      </c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M20" s="2">
        <v>41634.625</v>
      </c>
      <c r="N20">
        <v>19</v>
      </c>
      <c r="O20" t="s">
        <v>43</v>
      </c>
      <c r="P20">
        <v>90</v>
      </c>
      <c r="Q20">
        <v>0</v>
      </c>
      <c r="R20">
        <v>0</v>
      </c>
      <c r="S20">
        <v>0</v>
      </c>
      <c r="T20">
        <v>2</v>
      </c>
      <c r="U20">
        <v>0</v>
      </c>
      <c r="V20">
        <v>0</v>
      </c>
      <c r="W20">
        <v>0</v>
      </c>
      <c r="X20">
        <v>0</v>
      </c>
      <c r="Y20">
        <v>0</v>
      </c>
      <c r="Z20">
        <v>1</v>
      </c>
      <c r="AA20">
        <v>0</v>
      </c>
      <c r="AB20">
        <v>4</v>
      </c>
      <c r="AC20">
        <v>-1040</v>
      </c>
      <c r="AD20" s="3">
        <v>5</v>
      </c>
      <c r="AE20">
        <v>1</v>
      </c>
    </row>
    <row r="21" spans="1:31">
      <c r="B21">
        <f>SUM(C21:L21)</f>
        <v>0.99048683982124608</v>
      </c>
      <c r="C21">
        <f>POISSON(C20,$B$14,FALSE)</f>
        <v>5.6134762834134329E-2</v>
      </c>
      <c r="D21">
        <f t="shared" ref="D21:J21" si="1">POISSON(D20,$B$14,FALSE)</f>
        <v>0.16166811696230687</v>
      </c>
      <c r="E21">
        <f t="shared" si="1"/>
        <v>0.23280208842572189</v>
      </c>
      <c r="F21">
        <f t="shared" si="1"/>
        <v>0.223490004888693</v>
      </c>
      <c r="G21">
        <f t="shared" si="1"/>
        <v>0.16091280351985895</v>
      </c>
      <c r="H21">
        <f t="shared" si="1"/>
        <v>9.2685774827438741E-2</v>
      </c>
      <c r="I21">
        <f t="shared" si="1"/>
        <v>4.4489171917170597E-2</v>
      </c>
      <c r="J21">
        <f t="shared" si="1"/>
        <v>1.8304116445921618E-2</v>
      </c>
      <c r="M21" s="2">
        <v>41637.625</v>
      </c>
      <c r="N21">
        <v>20</v>
      </c>
      <c r="O21" t="s">
        <v>97</v>
      </c>
      <c r="P21">
        <v>90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2</v>
      </c>
      <c r="AA21">
        <v>0</v>
      </c>
      <c r="AB21">
        <v>18</v>
      </c>
      <c r="AC21">
        <v>-1633</v>
      </c>
      <c r="AD21" s="3">
        <v>5</v>
      </c>
      <c r="AE21">
        <v>6</v>
      </c>
    </row>
    <row r="22" spans="1:31">
      <c r="A22" s="1"/>
      <c r="M22" s="2">
        <v>41275.625</v>
      </c>
      <c r="N22">
        <v>21</v>
      </c>
      <c r="O22" t="s">
        <v>98</v>
      </c>
      <c r="P22">
        <v>90</v>
      </c>
      <c r="Q22">
        <v>0</v>
      </c>
      <c r="R22">
        <v>0</v>
      </c>
      <c r="S22">
        <v>0</v>
      </c>
      <c r="T22">
        <v>4</v>
      </c>
      <c r="U22">
        <v>0</v>
      </c>
      <c r="V22">
        <v>0</v>
      </c>
      <c r="W22">
        <v>0</v>
      </c>
      <c r="X22">
        <v>0</v>
      </c>
      <c r="Y22">
        <v>0</v>
      </c>
      <c r="Z22">
        <v>3</v>
      </c>
      <c r="AA22">
        <v>0</v>
      </c>
      <c r="AB22">
        <v>6</v>
      </c>
      <c r="AC22">
        <v>-1005</v>
      </c>
      <c r="AD22" s="3">
        <v>5</v>
      </c>
      <c r="AE22">
        <v>1</v>
      </c>
    </row>
    <row r="23" spans="1:31">
      <c r="C23" s="9" t="s">
        <v>0</v>
      </c>
      <c r="D23" s="9"/>
      <c r="E23" s="9"/>
      <c r="F23" s="9"/>
      <c r="G23" s="9"/>
      <c r="H23" s="9"/>
      <c r="I23" s="9"/>
      <c r="J23" s="9"/>
      <c r="M23" s="2">
        <v>41286.625</v>
      </c>
      <c r="N23">
        <v>22</v>
      </c>
      <c r="O23" t="s">
        <v>99</v>
      </c>
      <c r="P23">
        <v>90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6</v>
      </c>
      <c r="AC23">
        <v>-5966</v>
      </c>
      <c r="AD23" s="3">
        <v>5</v>
      </c>
      <c r="AE23">
        <v>2</v>
      </c>
    </row>
    <row r="24" spans="1:31">
      <c r="C24">
        <v>0</v>
      </c>
      <c r="D24">
        <v>1</v>
      </c>
      <c r="E24">
        <v>2</v>
      </c>
      <c r="F24">
        <v>3</v>
      </c>
      <c r="G24">
        <v>4</v>
      </c>
      <c r="H24">
        <v>5</v>
      </c>
      <c r="I24">
        <v>6</v>
      </c>
      <c r="J24">
        <v>7</v>
      </c>
      <c r="M24" s="2">
        <v>41293.625</v>
      </c>
      <c r="N24">
        <v>23</v>
      </c>
      <c r="O24" t="s">
        <v>100</v>
      </c>
      <c r="P24">
        <v>90</v>
      </c>
      <c r="Q24">
        <v>0</v>
      </c>
      <c r="R24">
        <v>0</v>
      </c>
      <c r="S24">
        <v>0</v>
      </c>
      <c r="T24">
        <v>3</v>
      </c>
      <c r="U24">
        <v>0</v>
      </c>
      <c r="V24">
        <v>0</v>
      </c>
      <c r="W24">
        <v>0</v>
      </c>
      <c r="X24">
        <v>0</v>
      </c>
      <c r="Y24">
        <v>0</v>
      </c>
      <c r="Z24">
        <v>2</v>
      </c>
      <c r="AA24">
        <v>0</v>
      </c>
      <c r="AB24">
        <v>3</v>
      </c>
      <c r="AC24">
        <v>-3353</v>
      </c>
      <c r="AD24" s="3">
        <v>5</v>
      </c>
      <c r="AE24">
        <v>1</v>
      </c>
    </row>
    <row r="25" spans="1:31">
      <c r="A25" s="10" t="s">
        <v>1</v>
      </c>
      <c r="B25">
        <v>0</v>
      </c>
      <c r="C25">
        <f t="shared" ref="C25:J25" si="2">$C$18*C21</f>
        <v>8.2297470490201394E-3</v>
      </c>
      <c r="D25">
        <f t="shared" si="2"/>
        <v>2.3701671501178002E-2</v>
      </c>
      <c r="E25">
        <f t="shared" si="2"/>
        <v>3.4130406961696322E-2</v>
      </c>
      <c r="F25">
        <f t="shared" si="2"/>
        <v>3.2765190683228466E-2</v>
      </c>
      <c r="G25">
        <f t="shared" si="2"/>
        <v>2.3590937291924494E-2</v>
      </c>
      <c r="H25">
        <f t="shared" si="2"/>
        <v>1.3588379880148507E-2</v>
      </c>
      <c r="I25">
        <f t="shared" si="2"/>
        <v>6.522422342471283E-3</v>
      </c>
      <c r="J25">
        <f t="shared" si="2"/>
        <v>2.6835109066167566E-3</v>
      </c>
      <c r="K25">
        <f t="shared" ref="K25:K30" si="3">SUM(C25:J25)</f>
        <v>0.14521226661628395</v>
      </c>
      <c r="M25" s="2">
        <v>41303.822916666664</v>
      </c>
      <c r="N25">
        <v>24</v>
      </c>
      <c r="O25" t="s">
        <v>101</v>
      </c>
      <c r="P25">
        <v>90</v>
      </c>
      <c r="Q25">
        <v>0</v>
      </c>
      <c r="R25">
        <v>0</v>
      </c>
      <c r="S25">
        <v>0</v>
      </c>
      <c r="T25">
        <v>2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0</v>
      </c>
      <c r="AB25">
        <v>6</v>
      </c>
      <c r="AC25">
        <v>-4140</v>
      </c>
      <c r="AD25" s="3">
        <v>5</v>
      </c>
      <c r="AE25">
        <v>1</v>
      </c>
    </row>
    <row r="26" spans="1:31">
      <c r="A26" s="10"/>
      <c r="B26">
        <v>1</v>
      </c>
      <c r="C26">
        <f>D18*$C$21</f>
        <v>1.5801114334118668E-2</v>
      </c>
      <c r="D26">
        <f>D18*D21</f>
        <v>4.5507209282261769E-2</v>
      </c>
      <c r="E26">
        <f>E21*D18</f>
        <v>6.5530381366456947E-2</v>
      </c>
      <c r="F26">
        <f>$D$18*F21</f>
        <v>6.2909166111798656E-2</v>
      </c>
      <c r="G26">
        <f>$D$18*G21</f>
        <v>4.5294599600495034E-2</v>
      </c>
      <c r="H26">
        <f>$D$18*H21</f>
        <v>2.6089689369885136E-2</v>
      </c>
      <c r="I26">
        <f>$D$18*I21</f>
        <v>1.2523050897544866E-2</v>
      </c>
      <c r="J26">
        <f>$D$18*J21</f>
        <v>5.1523409407041735E-3</v>
      </c>
      <c r="K26">
        <f t="shared" si="3"/>
        <v>0.27880755190326523</v>
      </c>
      <c r="M26" s="2">
        <v>41307.625</v>
      </c>
      <c r="N26">
        <v>25</v>
      </c>
      <c r="O26" t="s">
        <v>102</v>
      </c>
      <c r="P26">
        <v>90</v>
      </c>
      <c r="Q26">
        <v>0</v>
      </c>
      <c r="R26">
        <v>0</v>
      </c>
      <c r="S26">
        <v>0</v>
      </c>
      <c r="T26">
        <v>2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6</v>
      </c>
      <c r="AC26">
        <v>-2324</v>
      </c>
      <c r="AD26" s="3">
        <v>5</v>
      </c>
      <c r="AE26">
        <v>1</v>
      </c>
    </row>
    <row r="27" spans="1:31">
      <c r="A27" s="10"/>
      <c r="B27">
        <v>2</v>
      </c>
      <c r="C27">
        <f>E18*$C$21</f>
        <v>1.5169069760753925E-2</v>
      </c>
      <c r="D27">
        <f>E18*D21</f>
        <v>4.3686920910971309E-2</v>
      </c>
      <c r="E27">
        <f>E18*E21</f>
        <v>6.2909166111798684E-2</v>
      </c>
      <c r="F27">
        <f>$E$18*F21</f>
        <v>6.039279946732673E-2</v>
      </c>
      <c r="G27">
        <f>$E$18*G21</f>
        <v>4.3482815616475247E-2</v>
      </c>
      <c r="H27">
        <f>$E$18*H21</f>
        <v>2.5046101795089735E-2</v>
      </c>
      <c r="I27">
        <f>$E$18*I21</f>
        <v>1.2022128861643075E-2</v>
      </c>
      <c r="J27">
        <f>$E$18*J21</f>
        <v>4.9462473030760078E-3</v>
      </c>
      <c r="K27">
        <f t="shared" si="3"/>
        <v>0.26765524982713473</v>
      </c>
      <c r="M27" s="2">
        <v>41314.625</v>
      </c>
      <c r="N27">
        <v>26</v>
      </c>
      <c r="O27" t="s">
        <v>103</v>
      </c>
      <c r="P27">
        <v>90</v>
      </c>
      <c r="Q27">
        <v>0</v>
      </c>
      <c r="R27">
        <v>0</v>
      </c>
      <c r="S27">
        <v>0</v>
      </c>
      <c r="T27">
        <v>4</v>
      </c>
      <c r="U27">
        <v>0</v>
      </c>
      <c r="V27">
        <v>0</v>
      </c>
      <c r="W27">
        <v>0</v>
      </c>
      <c r="X27">
        <v>0</v>
      </c>
      <c r="Y27">
        <v>0</v>
      </c>
      <c r="Z27">
        <v>8</v>
      </c>
      <c r="AA27">
        <v>0</v>
      </c>
      <c r="AB27">
        <v>7</v>
      </c>
      <c r="AC27">
        <v>-2177</v>
      </c>
      <c r="AD27" s="3">
        <v>5</v>
      </c>
      <c r="AE27">
        <v>2</v>
      </c>
    </row>
    <row r="28" spans="1:31">
      <c r="A28" s="10"/>
      <c r="B28">
        <v>3</v>
      </c>
      <c r="C28">
        <f t="shared" ref="C28:J28" si="4">$F$18*C21</f>
        <v>9.7082046468825144E-3</v>
      </c>
      <c r="D28">
        <f t="shared" si="4"/>
        <v>2.7959629383021642E-2</v>
      </c>
      <c r="E28">
        <f t="shared" si="4"/>
        <v>4.0261866311551167E-2</v>
      </c>
      <c r="F28">
        <f t="shared" si="4"/>
        <v>3.8651391659089117E-2</v>
      </c>
      <c r="G28">
        <f t="shared" si="4"/>
        <v>2.7829001994544161E-2</v>
      </c>
      <c r="H28">
        <f t="shared" si="4"/>
        <v>1.6029505148857433E-2</v>
      </c>
      <c r="I28">
        <f t="shared" si="4"/>
        <v>7.6941624714515688E-3</v>
      </c>
      <c r="J28">
        <f t="shared" si="4"/>
        <v>3.1655982739686454E-3</v>
      </c>
      <c r="K28">
        <f t="shared" si="3"/>
        <v>0.17129935988936626</v>
      </c>
      <c r="M28" s="2">
        <v>41328.625</v>
      </c>
      <c r="N28">
        <v>27</v>
      </c>
      <c r="O28" t="s">
        <v>104</v>
      </c>
      <c r="P28">
        <v>90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15</v>
      </c>
      <c r="AC28">
        <v>-1316</v>
      </c>
      <c r="AD28" s="3">
        <v>5</v>
      </c>
      <c r="AE28">
        <v>6</v>
      </c>
    </row>
    <row r="29" spans="1:31">
      <c r="A29" s="10"/>
      <c r="B29">
        <v>4</v>
      </c>
      <c r="C29">
        <f t="shared" ref="C29:J29" si="5">$G$18*C21</f>
        <v>4.6599382305036073E-3</v>
      </c>
      <c r="D29">
        <f t="shared" si="5"/>
        <v>1.342062210385039E-2</v>
      </c>
      <c r="E29">
        <f t="shared" si="5"/>
        <v>1.9325695829544562E-2</v>
      </c>
      <c r="F29">
        <f t="shared" si="5"/>
        <v>1.8552667996362775E-2</v>
      </c>
      <c r="G29">
        <f t="shared" si="5"/>
        <v>1.3357920957381199E-2</v>
      </c>
      <c r="H29">
        <f t="shared" si="5"/>
        <v>7.6941624714515688E-3</v>
      </c>
      <c r="I29">
        <f t="shared" si="5"/>
        <v>3.6931979862967531E-3</v>
      </c>
      <c r="J29">
        <f t="shared" si="5"/>
        <v>1.5194871715049499E-3</v>
      </c>
      <c r="K29">
        <f t="shared" si="3"/>
        <v>8.2223692746895796E-2</v>
      </c>
      <c r="M29" s="2">
        <v>41335.729166666664</v>
      </c>
      <c r="N29">
        <v>28</v>
      </c>
      <c r="O29" t="s">
        <v>105</v>
      </c>
      <c r="P29">
        <v>90</v>
      </c>
      <c r="Q29">
        <v>0</v>
      </c>
      <c r="R29">
        <v>0</v>
      </c>
      <c r="S29">
        <v>0</v>
      </c>
      <c r="T29">
        <v>4</v>
      </c>
      <c r="U29">
        <v>0</v>
      </c>
      <c r="V29">
        <v>0</v>
      </c>
      <c r="W29">
        <v>0</v>
      </c>
      <c r="X29">
        <v>0</v>
      </c>
      <c r="Y29">
        <v>0</v>
      </c>
      <c r="Z29">
        <v>1</v>
      </c>
      <c r="AA29">
        <v>0</v>
      </c>
      <c r="AB29">
        <v>2</v>
      </c>
      <c r="AC29">
        <v>-582</v>
      </c>
      <c r="AD29" s="3">
        <v>5</v>
      </c>
      <c r="AE29">
        <v>0</v>
      </c>
    </row>
    <row r="30" spans="1:31">
      <c r="A30" s="10"/>
      <c r="B30">
        <v>5</v>
      </c>
      <c r="C30">
        <f t="shared" ref="C30:J30" si="6">$H$18*C21</f>
        <v>1.7894162805133858E-3</v>
      </c>
      <c r="D30">
        <f t="shared" si="6"/>
        <v>5.1535188878785512E-3</v>
      </c>
      <c r="E30">
        <f t="shared" si="6"/>
        <v>7.4210671985451135E-3</v>
      </c>
      <c r="F30">
        <f t="shared" si="6"/>
        <v>7.1242245106033081E-3</v>
      </c>
      <c r="G30">
        <f t="shared" si="6"/>
        <v>5.1294416476343821E-3</v>
      </c>
      <c r="H30">
        <f t="shared" si="6"/>
        <v>2.9545583890374033E-3</v>
      </c>
      <c r="I30">
        <f t="shared" si="6"/>
        <v>1.4181880267379538E-3</v>
      </c>
      <c r="J30">
        <f t="shared" si="6"/>
        <v>5.8348307385790101E-4</v>
      </c>
      <c r="K30">
        <f t="shared" si="3"/>
        <v>3.1573898014807998E-2</v>
      </c>
      <c r="M30" s="2">
        <v>41350.666666666664</v>
      </c>
      <c r="N30">
        <v>30</v>
      </c>
      <c r="O30" t="s">
        <v>106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-96</v>
      </c>
      <c r="AD30" s="3">
        <v>5</v>
      </c>
      <c r="AE30">
        <v>0</v>
      </c>
    </row>
    <row r="31" spans="1:31">
      <c r="K31">
        <f>SUM(K25:K30)</f>
        <v>0.97677201899775401</v>
      </c>
      <c r="M31" s="2">
        <v>41363.625</v>
      </c>
      <c r="N31">
        <v>31</v>
      </c>
      <c r="O31" t="s">
        <v>107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150</v>
      </c>
      <c r="AD31" s="3">
        <v>4.9000000000000004</v>
      </c>
      <c r="AE31">
        <v>0</v>
      </c>
    </row>
    <row r="32" spans="1:31">
      <c r="A32" t="s">
        <v>17</v>
      </c>
      <c r="B32">
        <f>SUM(D25:J25,E26:J26,F27:J27,G28:J28,H29:J29,I30:J30)</f>
        <v>0.5699986275164306</v>
      </c>
      <c r="M32" s="2"/>
      <c r="AD32" s="3"/>
    </row>
    <row r="33" spans="1:30">
      <c r="A33" t="s">
        <v>18</v>
      </c>
      <c r="B33">
        <f>SUM(C25:J25)</f>
        <v>0.14521226661628395</v>
      </c>
      <c r="V33">
        <v>0</v>
      </c>
      <c r="X33">
        <v>0</v>
      </c>
      <c r="Y33">
        <v>0</v>
      </c>
      <c r="Z33">
        <f>(SUM(Z2:Z6)/COUNT(Z2:Z6))</f>
        <v>3.6</v>
      </c>
      <c r="AA33">
        <f>(SUM(AA2:AA6)/COUNT(AA2:AA6))</f>
        <v>0.4</v>
      </c>
    </row>
    <row r="34" spans="1:30">
      <c r="A34" t="s">
        <v>19</v>
      </c>
      <c r="B34">
        <f>SUM(C26:C30,D27:D30,E28:E30,F29:F30,G29)</f>
        <v>0.24339187734248208</v>
      </c>
      <c r="H34">
        <f>C18</f>
        <v>0.14660696213035052</v>
      </c>
      <c r="U34">
        <f>CORREL(T2:T32, Z2:Z32)</f>
        <v>0.14652413961158087</v>
      </c>
      <c r="Z34">
        <f>Z33*0.333333333</f>
        <v>1.1999999988000001</v>
      </c>
    </row>
    <row r="35" spans="1:30">
      <c r="A35" t="s">
        <v>20</v>
      </c>
      <c r="B35">
        <f>SUM(C25:C30)</f>
        <v>5.5357490301792232E-2</v>
      </c>
    </row>
    <row r="36" spans="1:30">
      <c r="A36" t="s">
        <v>23</v>
      </c>
      <c r="B36">
        <f>SUM(C25,D26,E27,F28,G29,H30)</f>
        <v>0.17160999344858832</v>
      </c>
      <c r="K36">
        <f>H34</f>
        <v>0.14660696213035052</v>
      </c>
      <c r="L36" t="s">
        <v>190</v>
      </c>
      <c r="R36" s="4">
        <v>8.2297470490201394E-3</v>
      </c>
      <c r="S36" s="4">
        <v>2.3701671501178002E-2</v>
      </c>
      <c r="T36" s="4">
        <v>3.4130406961696322E-2</v>
      </c>
      <c r="U36" s="4">
        <v>3.2765190683228466E-2</v>
      </c>
      <c r="V36" s="4">
        <v>2.3590937291924494E-2</v>
      </c>
      <c r="W36" s="4">
        <v>1.3588379880148507E-2</v>
      </c>
      <c r="X36" s="4"/>
      <c r="Y36" s="4"/>
      <c r="Z36">
        <f>SUM(R36:Y36)</f>
        <v>0.13600633336719592</v>
      </c>
      <c r="AA36" s="4">
        <v>4</v>
      </c>
      <c r="AB36">
        <f>Z36*AA36</f>
        <v>0.54402533346878368</v>
      </c>
    </row>
    <row r="37" spans="1:30">
      <c r="A37" t="s">
        <v>21</v>
      </c>
      <c r="B37" t="s">
        <v>22</v>
      </c>
      <c r="K37">
        <f>1/5</f>
        <v>0.2</v>
      </c>
      <c r="L37" t="s">
        <v>111</v>
      </c>
      <c r="R37">
        <v>1.5801114334118668E-2</v>
      </c>
      <c r="S37">
        <v>4.5507209282261769E-2</v>
      </c>
      <c r="T37">
        <v>6.5530381366456947E-2</v>
      </c>
      <c r="U37">
        <v>6.2909166111798656E-2</v>
      </c>
      <c r="V37">
        <v>4.5294599600495034E-2</v>
      </c>
      <c r="W37">
        <v>2.6089689369885136E-2</v>
      </c>
      <c r="Z37">
        <f>SUM(R37:Y37)</f>
        <v>0.26113216006501622</v>
      </c>
      <c r="AA37">
        <v>0</v>
      </c>
    </row>
    <row r="38" spans="1:30">
      <c r="K38">
        <f>2.88*0.2*5</f>
        <v>2.88</v>
      </c>
      <c r="L38" t="s">
        <v>108</v>
      </c>
      <c r="R38" s="5">
        <v>1.5169069760753925E-2</v>
      </c>
      <c r="S38" s="5">
        <v>4.3686920910971309E-2</v>
      </c>
      <c r="T38" s="5">
        <v>6.2909166111798684E-2</v>
      </c>
      <c r="U38" s="5">
        <v>6.039279946732673E-2</v>
      </c>
      <c r="V38" s="5">
        <v>4.3482815616475247E-2</v>
      </c>
      <c r="W38" s="5">
        <v>2.5046101795089735E-2</v>
      </c>
      <c r="X38" s="5"/>
      <c r="Y38" s="5"/>
    </row>
    <row r="39" spans="1:30">
      <c r="K39">
        <f>2.88*0.2*3</f>
        <v>1.7279999999999998</v>
      </c>
      <c r="L39" t="s">
        <v>109</v>
      </c>
      <c r="R39" s="5">
        <v>9.7082046468825144E-3</v>
      </c>
      <c r="S39" s="5">
        <v>2.7959629383021642E-2</v>
      </c>
      <c r="T39" s="5">
        <v>4.0261866311551167E-2</v>
      </c>
      <c r="U39" s="5">
        <v>3.8651391659089117E-2</v>
      </c>
      <c r="V39" s="5">
        <v>2.7829001994544161E-2</v>
      </c>
      <c r="W39" s="5">
        <v>1.6029505148857433E-2</v>
      </c>
      <c r="X39" s="5"/>
      <c r="Y39" s="5"/>
      <c r="Z39">
        <f>SUM(R38:Y38)+SUM(R39:Y39)</f>
        <v>0.41112647280636172</v>
      </c>
      <c r="AA39" s="5">
        <v>-1</v>
      </c>
      <c r="AB39">
        <f>Z39*AA39</f>
        <v>-0.41112647280636172</v>
      </c>
    </row>
    <row r="40" spans="1:30">
      <c r="A40" t="s">
        <v>191</v>
      </c>
      <c r="K40">
        <f>SUM(K36:K39)</f>
        <v>4.9546069621303506</v>
      </c>
      <c r="R40" s="6">
        <v>4.6599382305036073E-3</v>
      </c>
      <c r="S40" s="6">
        <v>1.342062210385039E-2</v>
      </c>
      <c r="T40" s="6">
        <v>1.9325695829544562E-2</v>
      </c>
      <c r="U40" s="6">
        <v>1.8552667996362775E-2</v>
      </c>
      <c r="V40" s="6">
        <v>1.3357920957381199E-2</v>
      </c>
      <c r="W40" s="6">
        <v>7.6941624714515688E-3</v>
      </c>
      <c r="X40" s="6"/>
      <c r="Y40" s="6"/>
    </row>
    <row r="41" spans="1:30">
      <c r="R41" s="6">
        <v>1.7894162805133858E-3</v>
      </c>
      <c r="S41" s="6">
        <v>5.1535188878785512E-3</v>
      </c>
      <c r="T41" s="6">
        <v>7.4210671985451135E-3</v>
      </c>
      <c r="U41" s="6">
        <v>7.1242245106033081E-3</v>
      </c>
      <c r="V41" s="6">
        <v>5.1294416476343821E-3</v>
      </c>
      <c r="W41" s="6">
        <v>2.9545583890374033E-3</v>
      </c>
      <c r="X41" s="6"/>
      <c r="Y41" s="6"/>
      <c r="Z41">
        <f>SUM(R40:Y40)+SUM(R41:Y41)</f>
        <v>0.10658323450330624</v>
      </c>
      <c r="AA41" s="6">
        <v>-2</v>
      </c>
      <c r="AB41">
        <f>Z41*AA41</f>
        <v>-0.21316646900661249</v>
      </c>
    </row>
    <row r="42" spans="1:30">
      <c r="R42">
        <f>SUM(R36:R41)</f>
        <v>5.5357490301792232E-2</v>
      </c>
      <c r="U42">
        <f>SUM(T36:U41)</f>
        <v>0.44997402420800187</v>
      </c>
      <c r="W42">
        <f>SUM(V36:W41)</f>
        <v>0.25008711416292428</v>
      </c>
      <c r="X42">
        <f>SUM(R42:W42)</f>
        <v>0.75541862867271836</v>
      </c>
      <c r="Z42">
        <f>SUM(Z36:Z41)</f>
        <v>0.91484820074188011</v>
      </c>
      <c r="AB42">
        <f>SUM(AB36:AB41)</f>
        <v>-8.0267608344190527E-2</v>
      </c>
    </row>
    <row r="43" spans="1:30">
      <c r="R43">
        <f>R42*4</f>
        <v>0.22142996120716893</v>
      </c>
      <c r="U43">
        <f>U42*-1</f>
        <v>-0.44997402420800187</v>
      </c>
      <c r="W43">
        <f>W42*-1</f>
        <v>-0.25008711416292428</v>
      </c>
      <c r="X43">
        <f>SUM(R43:W43)</f>
        <v>-0.47863117716375725</v>
      </c>
      <c r="AC43" t="s">
        <v>81</v>
      </c>
      <c r="AD43">
        <f>K36+Z34+AA33</f>
        <v>1.7466069609303507</v>
      </c>
    </row>
    <row r="44" spans="1:30">
      <c r="U44">
        <f>SUM(R43:U43)</f>
        <v>-0.22854406300083294</v>
      </c>
      <c r="W44">
        <f>SUM(R43:W43)</f>
        <v>-0.47863117716375725</v>
      </c>
    </row>
    <row r="45" spans="1:30">
      <c r="T45">
        <f>SUM(T36:T41)</f>
        <v>0.22957858377959281</v>
      </c>
      <c r="V45">
        <f>SUM(V36:V41)</f>
        <v>0.1586847171084545</v>
      </c>
    </row>
    <row r="46" spans="1:30">
      <c r="T46">
        <f>T45*-1</f>
        <v>-0.22957858377959281</v>
      </c>
      <c r="V46">
        <f>V45*-1</f>
        <v>-0.1586847171084545</v>
      </c>
    </row>
    <row r="47" spans="1:30">
      <c r="T47">
        <f>T46+R43</f>
        <v>-8.1486225724238803E-3</v>
      </c>
      <c r="V47">
        <f>V46+U43+R43</f>
        <v>-0.38722878010928741</v>
      </c>
    </row>
  </sheetData>
  <mergeCells count="4">
    <mergeCell ref="C16:H16"/>
    <mergeCell ref="C19:H19"/>
    <mergeCell ref="C23:J23"/>
    <mergeCell ref="A25:A3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59"/>
  <sheetViews>
    <sheetView topLeftCell="A16" workbookViewId="0">
      <selection activeCell="H30" sqref="H30"/>
    </sheetView>
  </sheetViews>
  <sheetFormatPr defaultRowHeight="15"/>
  <cols>
    <col min="1" max="1" width="26.28515625" bestFit="1" customWidth="1"/>
    <col min="2" max="3" width="9.140625" customWidth="1"/>
    <col min="15" max="15" width="13" customWidth="1"/>
    <col min="19" max="19" width="12.42578125" bestFit="1" customWidth="1"/>
    <col min="22" max="22" width="14.28515625" customWidth="1"/>
  </cols>
  <sheetData>
    <row r="1" spans="1:31">
      <c r="A1" t="s">
        <v>2</v>
      </c>
      <c r="B1">
        <v>5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  <c r="Z1" t="s">
        <v>78</v>
      </c>
      <c r="AA1" t="s">
        <v>79</v>
      </c>
      <c r="AE1" t="s">
        <v>80</v>
      </c>
    </row>
    <row r="2" spans="1:31">
      <c r="A2" t="s">
        <v>3</v>
      </c>
      <c r="B2">
        <v>5</v>
      </c>
      <c r="M2" s="2">
        <v>41505.5625</v>
      </c>
      <c r="N2">
        <v>1</v>
      </c>
      <c r="O2" t="s">
        <v>82</v>
      </c>
      <c r="P2">
        <v>90</v>
      </c>
      <c r="Q2">
        <v>0</v>
      </c>
      <c r="R2">
        <v>0</v>
      </c>
      <c r="S2">
        <v>0</v>
      </c>
      <c r="T2">
        <v>2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3</v>
      </c>
      <c r="AC2">
        <v>0</v>
      </c>
      <c r="AD2" s="3">
        <v>5</v>
      </c>
      <c r="AE2">
        <v>1</v>
      </c>
    </row>
    <row r="3" spans="1:31">
      <c r="A3" t="s">
        <v>4</v>
      </c>
      <c r="B3">
        <v>3</v>
      </c>
      <c r="M3" s="2">
        <v>41511.625</v>
      </c>
      <c r="N3">
        <v>2</v>
      </c>
      <c r="O3" t="s">
        <v>83</v>
      </c>
      <c r="P3">
        <v>90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2</v>
      </c>
      <c r="AB3">
        <v>23</v>
      </c>
      <c r="AC3">
        <v>-3440</v>
      </c>
      <c r="AD3" s="3">
        <v>5</v>
      </c>
      <c r="AE3">
        <v>10</v>
      </c>
    </row>
    <row r="4" spans="1:31">
      <c r="A4" t="s">
        <v>5</v>
      </c>
      <c r="B4">
        <v>2</v>
      </c>
      <c r="M4" s="2">
        <v>41518.625</v>
      </c>
      <c r="N4">
        <v>3</v>
      </c>
      <c r="O4" t="s">
        <v>84</v>
      </c>
      <c r="P4">
        <v>90</v>
      </c>
      <c r="Q4">
        <v>0</v>
      </c>
      <c r="R4">
        <v>1</v>
      </c>
      <c r="S4">
        <v>0</v>
      </c>
      <c r="T4">
        <v>2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11</v>
      </c>
      <c r="AC4">
        <v>17162</v>
      </c>
      <c r="AD4" s="3">
        <v>5</v>
      </c>
      <c r="AE4">
        <v>2</v>
      </c>
    </row>
    <row r="5" spans="1:31">
      <c r="A5" t="s">
        <v>10</v>
      </c>
      <c r="B5">
        <v>2.5</v>
      </c>
      <c r="M5" s="2">
        <v>41532.625</v>
      </c>
      <c r="N5">
        <v>4</v>
      </c>
      <c r="O5" t="s">
        <v>85</v>
      </c>
      <c r="P5">
        <v>90</v>
      </c>
      <c r="Q5">
        <v>0</v>
      </c>
      <c r="R5">
        <v>0</v>
      </c>
      <c r="S5">
        <v>0</v>
      </c>
      <c r="T5">
        <v>4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2</v>
      </c>
      <c r="AC5">
        <v>-894</v>
      </c>
      <c r="AD5" s="3">
        <v>5</v>
      </c>
      <c r="AE5">
        <v>5</v>
      </c>
    </row>
    <row r="6" spans="1:31">
      <c r="A6" t="s">
        <v>11</v>
      </c>
      <c r="B6">
        <v>2.5</v>
      </c>
      <c r="M6" s="2">
        <v>41539.625</v>
      </c>
      <c r="N6">
        <v>5</v>
      </c>
      <c r="O6" t="s">
        <v>86</v>
      </c>
      <c r="P6">
        <v>90</v>
      </c>
      <c r="Q6">
        <v>1</v>
      </c>
      <c r="R6">
        <v>1</v>
      </c>
      <c r="S6">
        <v>0</v>
      </c>
      <c r="T6">
        <v>2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8</v>
      </c>
      <c r="AC6">
        <v>2934</v>
      </c>
      <c r="AD6" s="3">
        <v>5</v>
      </c>
      <c r="AE6">
        <v>3</v>
      </c>
    </row>
    <row r="7" spans="1:31">
      <c r="A7" t="s">
        <v>6</v>
      </c>
      <c r="B7">
        <f>3/B5</f>
        <v>1.2</v>
      </c>
      <c r="M7" s="2">
        <v>41546.625</v>
      </c>
      <c r="N7">
        <v>6</v>
      </c>
      <c r="O7" t="s">
        <v>87</v>
      </c>
      <c r="P7">
        <v>90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2</v>
      </c>
      <c r="AA7">
        <v>0</v>
      </c>
      <c r="AB7">
        <v>4</v>
      </c>
      <c r="AC7">
        <v>79</v>
      </c>
      <c r="AD7" s="3">
        <v>5</v>
      </c>
      <c r="AE7">
        <v>2</v>
      </c>
    </row>
    <row r="8" spans="1:31">
      <c r="A8" t="s">
        <v>7</v>
      </c>
      <c r="B8">
        <f>2/B5</f>
        <v>0.8</v>
      </c>
      <c r="D8">
        <f>2/B5</f>
        <v>0.8</v>
      </c>
      <c r="M8" s="2">
        <v>41553.625</v>
      </c>
      <c r="N8">
        <v>7</v>
      </c>
      <c r="O8" t="s">
        <v>88</v>
      </c>
      <c r="P8">
        <v>90</v>
      </c>
      <c r="Q8">
        <v>0</v>
      </c>
      <c r="R8">
        <v>0</v>
      </c>
      <c r="S8">
        <v>0</v>
      </c>
      <c r="T8">
        <v>2</v>
      </c>
      <c r="U8">
        <v>0</v>
      </c>
      <c r="V8">
        <v>0</v>
      </c>
      <c r="W8">
        <v>0</v>
      </c>
      <c r="X8">
        <v>0</v>
      </c>
      <c r="Y8">
        <v>0</v>
      </c>
      <c r="Z8">
        <v>5</v>
      </c>
      <c r="AA8">
        <v>0</v>
      </c>
      <c r="AB8">
        <v>11</v>
      </c>
      <c r="AC8">
        <v>-889</v>
      </c>
      <c r="AD8" s="3">
        <v>5</v>
      </c>
      <c r="AE8">
        <v>2</v>
      </c>
    </row>
    <row r="9" spans="1:31">
      <c r="A9" t="s">
        <v>8</v>
      </c>
      <c r="B9">
        <f>2/B6</f>
        <v>0.8</v>
      </c>
      <c r="M9" s="2">
        <v>41567.625</v>
      </c>
      <c r="N9">
        <v>8</v>
      </c>
      <c r="O9" t="s">
        <v>89</v>
      </c>
      <c r="P9">
        <v>90</v>
      </c>
      <c r="Q9">
        <v>0</v>
      </c>
      <c r="R9">
        <v>0</v>
      </c>
      <c r="S9">
        <v>0</v>
      </c>
      <c r="T9">
        <v>2</v>
      </c>
      <c r="U9">
        <v>0</v>
      </c>
      <c r="V9">
        <v>0</v>
      </c>
      <c r="W9">
        <v>0</v>
      </c>
      <c r="X9">
        <v>0</v>
      </c>
      <c r="Y9">
        <v>0</v>
      </c>
      <c r="Z9">
        <v>6</v>
      </c>
      <c r="AA9">
        <v>0</v>
      </c>
      <c r="AB9">
        <v>10</v>
      </c>
      <c r="AC9">
        <v>-834</v>
      </c>
      <c r="AD9" s="3">
        <v>5</v>
      </c>
      <c r="AE9">
        <v>3</v>
      </c>
    </row>
    <row r="10" spans="1:31">
      <c r="A10" t="s">
        <v>9</v>
      </c>
      <c r="B10">
        <f>3/B5</f>
        <v>1.2</v>
      </c>
      <c r="M10" s="2">
        <v>41574.625</v>
      </c>
      <c r="N10">
        <v>9</v>
      </c>
      <c r="O10" t="s">
        <v>90</v>
      </c>
      <c r="P10">
        <v>90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4</v>
      </c>
      <c r="AA10">
        <v>0</v>
      </c>
      <c r="AB10">
        <v>18</v>
      </c>
      <c r="AC10">
        <v>-1121</v>
      </c>
      <c r="AD10" s="3">
        <v>5</v>
      </c>
      <c r="AE10">
        <v>3</v>
      </c>
    </row>
    <row r="11" spans="1:31">
      <c r="M11" s="2">
        <v>41581.625</v>
      </c>
      <c r="N11">
        <v>10</v>
      </c>
      <c r="O11" t="s">
        <v>91</v>
      </c>
      <c r="P11">
        <v>90</v>
      </c>
      <c r="Q11">
        <v>0</v>
      </c>
      <c r="R11">
        <v>0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5</v>
      </c>
      <c r="AA11">
        <v>0</v>
      </c>
      <c r="AB11">
        <v>20</v>
      </c>
      <c r="AC11">
        <v>-2137</v>
      </c>
      <c r="AD11" s="3">
        <v>5</v>
      </c>
      <c r="AE11">
        <v>7</v>
      </c>
    </row>
    <row r="12" spans="1:31">
      <c r="A12" t="s">
        <v>12</v>
      </c>
      <c r="M12" s="2">
        <v>41588.625</v>
      </c>
      <c r="N12">
        <v>11</v>
      </c>
      <c r="O12" t="s">
        <v>92</v>
      </c>
      <c r="P12">
        <v>90</v>
      </c>
      <c r="Q12">
        <v>0</v>
      </c>
      <c r="R12">
        <v>0</v>
      </c>
      <c r="S12">
        <v>0</v>
      </c>
      <c r="T12">
        <v>2</v>
      </c>
      <c r="U12">
        <v>0</v>
      </c>
      <c r="V12">
        <v>0</v>
      </c>
      <c r="W12">
        <v>0</v>
      </c>
      <c r="X12">
        <v>0</v>
      </c>
      <c r="Y12">
        <v>0</v>
      </c>
      <c r="Z12">
        <v>3</v>
      </c>
      <c r="AA12">
        <v>0</v>
      </c>
      <c r="AB12">
        <v>5</v>
      </c>
      <c r="AC12">
        <v>2670</v>
      </c>
      <c r="AD12" s="3">
        <v>5</v>
      </c>
      <c r="AE12">
        <v>2</v>
      </c>
    </row>
    <row r="13" spans="1:31">
      <c r="A13" t="s">
        <v>13</v>
      </c>
      <c r="B13">
        <f>B3*B8*B9</f>
        <v>1.9200000000000004</v>
      </c>
      <c r="M13" s="2">
        <v>41595.625</v>
      </c>
      <c r="N13">
        <v>12</v>
      </c>
      <c r="O13" t="s">
        <v>54</v>
      </c>
      <c r="P13">
        <v>90</v>
      </c>
      <c r="Q13">
        <v>0</v>
      </c>
      <c r="R13">
        <v>0</v>
      </c>
      <c r="S13">
        <v>0</v>
      </c>
      <c r="T13">
        <v>3</v>
      </c>
      <c r="U13">
        <v>0</v>
      </c>
      <c r="V13">
        <v>0</v>
      </c>
      <c r="W13">
        <v>0</v>
      </c>
      <c r="X13">
        <v>0</v>
      </c>
      <c r="Y13">
        <v>0</v>
      </c>
      <c r="Z13">
        <v>2</v>
      </c>
      <c r="AA13">
        <v>0</v>
      </c>
      <c r="AB13">
        <v>10</v>
      </c>
      <c r="AC13">
        <v>-957</v>
      </c>
      <c r="AD13" s="3">
        <v>5</v>
      </c>
      <c r="AE13">
        <v>1</v>
      </c>
    </row>
    <row r="14" spans="1:31">
      <c r="A14" t="s">
        <v>14</v>
      </c>
      <c r="B14">
        <f>B4*B7*B10</f>
        <v>2.88</v>
      </c>
      <c r="M14" s="2">
        <v>41602.625</v>
      </c>
      <c r="N14">
        <v>13</v>
      </c>
      <c r="O14" t="s">
        <v>93</v>
      </c>
      <c r="P14">
        <v>90</v>
      </c>
      <c r="Q14">
        <v>0</v>
      </c>
      <c r="R14">
        <v>0</v>
      </c>
      <c r="S14">
        <v>0</v>
      </c>
      <c r="T14">
        <v>2</v>
      </c>
      <c r="U14">
        <v>1</v>
      </c>
      <c r="V14">
        <v>0</v>
      </c>
      <c r="W14">
        <v>0</v>
      </c>
      <c r="X14">
        <v>0</v>
      </c>
      <c r="Y14">
        <v>0</v>
      </c>
      <c r="Z14">
        <v>4</v>
      </c>
      <c r="AA14">
        <v>0</v>
      </c>
      <c r="AB14">
        <v>17</v>
      </c>
      <c r="AC14">
        <v>848</v>
      </c>
      <c r="AD14" s="3">
        <v>5</v>
      </c>
      <c r="AE14">
        <v>0</v>
      </c>
    </row>
    <row r="15" spans="1:31">
      <c r="M15" s="2">
        <v>41606.833333333336</v>
      </c>
      <c r="N15">
        <v>14</v>
      </c>
      <c r="O15" t="s">
        <v>94</v>
      </c>
      <c r="P15">
        <v>90</v>
      </c>
      <c r="Q15">
        <v>0</v>
      </c>
      <c r="R15">
        <v>0</v>
      </c>
      <c r="S15">
        <v>0</v>
      </c>
      <c r="T15">
        <v>2</v>
      </c>
      <c r="U15">
        <v>0</v>
      </c>
      <c r="V15">
        <v>0</v>
      </c>
      <c r="W15">
        <v>0</v>
      </c>
      <c r="X15">
        <v>0</v>
      </c>
      <c r="Y15">
        <v>0</v>
      </c>
      <c r="Z15">
        <v>3</v>
      </c>
      <c r="AA15">
        <v>0</v>
      </c>
      <c r="AB15">
        <v>5</v>
      </c>
      <c r="AC15">
        <v>-2735</v>
      </c>
      <c r="AD15" s="3">
        <v>5</v>
      </c>
      <c r="AE15">
        <v>2</v>
      </c>
    </row>
    <row r="16" spans="1:31">
      <c r="A16" t="s">
        <v>15</v>
      </c>
      <c r="C16" s="9" t="s">
        <v>1</v>
      </c>
      <c r="D16" s="9"/>
      <c r="E16" s="9"/>
      <c r="F16" s="9"/>
      <c r="G16" s="9"/>
      <c r="H16" s="9"/>
      <c r="M16" s="2">
        <v>41611.833333333336</v>
      </c>
      <c r="N16">
        <v>15</v>
      </c>
      <c r="O16" t="s">
        <v>95</v>
      </c>
      <c r="P16">
        <v>90</v>
      </c>
      <c r="Q16">
        <v>0</v>
      </c>
      <c r="R16">
        <v>0</v>
      </c>
      <c r="S16">
        <v>0</v>
      </c>
      <c r="T16">
        <v>3</v>
      </c>
      <c r="U16">
        <v>0</v>
      </c>
      <c r="V16">
        <v>0</v>
      </c>
      <c r="W16">
        <v>0</v>
      </c>
      <c r="X16">
        <v>0</v>
      </c>
      <c r="Y16">
        <v>0</v>
      </c>
      <c r="Z16">
        <v>5</v>
      </c>
      <c r="AA16">
        <v>0</v>
      </c>
      <c r="AB16">
        <v>8</v>
      </c>
      <c r="AC16">
        <v>1715</v>
      </c>
      <c r="AD16" s="3">
        <v>5</v>
      </c>
      <c r="AE16">
        <v>2</v>
      </c>
    </row>
    <row r="17" spans="1:31">
      <c r="A17" s="1"/>
      <c r="B17" t="s">
        <v>16</v>
      </c>
      <c r="C17">
        <v>0</v>
      </c>
      <c r="D17">
        <v>1</v>
      </c>
      <c r="E17">
        <v>2</v>
      </c>
      <c r="F17">
        <v>3</v>
      </c>
      <c r="G17">
        <v>4</v>
      </c>
      <c r="H17">
        <v>5</v>
      </c>
      <c r="M17" s="2">
        <v>41616.625</v>
      </c>
      <c r="N17">
        <v>16</v>
      </c>
      <c r="O17" t="s">
        <v>96</v>
      </c>
      <c r="P17">
        <v>90</v>
      </c>
      <c r="Q17">
        <v>0</v>
      </c>
      <c r="R17">
        <v>0</v>
      </c>
      <c r="S17">
        <v>0</v>
      </c>
      <c r="T17">
        <v>2</v>
      </c>
      <c r="U17">
        <v>0</v>
      </c>
      <c r="V17">
        <v>0</v>
      </c>
      <c r="W17">
        <v>0</v>
      </c>
      <c r="X17">
        <v>0</v>
      </c>
      <c r="Y17">
        <v>0</v>
      </c>
      <c r="Z17">
        <v>2</v>
      </c>
      <c r="AA17">
        <v>0</v>
      </c>
      <c r="AB17">
        <v>8</v>
      </c>
      <c r="AC17">
        <v>154</v>
      </c>
      <c r="AD17" s="3">
        <v>5</v>
      </c>
      <c r="AE17">
        <v>1</v>
      </c>
    </row>
    <row r="18" spans="1:31">
      <c r="B18">
        <f>SUM(C18:H18)</f>
        <v>0.9861534547738493</v>
      </c>
      <c r="C18">
        <f t="shared" ref="C18:H18" si="0">POISSON(C17,$B$13,FALSE)</f>
        <v>0.14660696213035052</v>
      </c>
      <c r="D18">
        <f t="shared" si="0"/>
        <v>0.28148536729027301</v>
      </c>
      <c r="E18">
        <f t="shared" si="0"/>
        <v>0.27022595259866217</v>
      </c>
      <c r="F18">
        <f t="shared" si="0"/>
        <v>0.17294460966314382</v>
      </c>
      <c r="G18">
        <f t="shared" si="0"/>
        <v>8.3013412638309039E-2</v>
      </c>
      <c r="H18">
        <f t="shared" si="0"/>
        <v>3.1877150453110681E-2</v>
      </c>
      <c r="M18" s="2">
        <v>41623.625</v>
      </c>
      <c r="N18">
        <v>17</v>
      </c>
      <c r="O18" t="s">
        <v>47</v>
      </c>
      <c r="P18">
        <v>90</v>
      </c>
      <c r="Q18">
        <v>0</v>
      </c>
      <c r="R18">
        <v>0</v>
      </c>
      <c r="S18">
        <v>0</v>
      </c>
      <c r="T18">
        <v>2</v>
      </c>
      <c r="U18">
        <v>0</v>
      </c>
      <c r="V18">
        <v>0</v>
      </c>
      <c r="W18">
        <v>0</v>
      </c>
      <c r="X18">
        <v>0</v>
      </c>
      <c r="Y18">
        <v>0</v>
      </c>
      <c r="Z18">
        <v>6</v>
      </c>
      <c r="AA18">
        <v>0</v>
      </c>
      <c r="AB18">
        <v>5</v>
      </c>
      <c r="AC18">
        <v>-1463</v>
      </c>
      <c r="AD18" s="3">
        <v>5</v>
      </c>
      <c r="AE18">
        <v>3</v>
      </c>
    </row>
    <row r="19" spans="1:31">
      <c r="C19" s="9" t="s">
        <v>0</v>
      </c>
      <c r="D19" s="9"/>
      <c r="E19" s="9"/>
      <c r="F19" s="9"/>
      <c r="G19" s="9"/>
      <c r="H19" s="9"/>
      <c r="M19" s="2">
        <v>41630.53125</v>
      </c>
      <c r="N19">
        <v>18</v>
      </c>
      <c r="O19" t="s">
        <v>59</v>
      </c>
      <c r="P19">
        <v>90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3</v>
      </c>
      <c r="AA19">
        <v>0</v>
      </c>
      <c r="AB19">
        <v>4</v>
      </c>
      <c r="AC19">
        <v>-1902</v>
      </c>
      <c r="AD19" s="3">
        <v>5</v>
      </c>
      <c r="AE19">
        <v>3</v>
      </c>
    </row>
    <row r="20" spans="1:31">
      <c r="C20">
        <v>0</v>
      </c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M20" s="2">
        <v>41634.625</v>
      </c>
      <c r="N20">
        <v>19</v>
      </c>
      <c r="O20" t="s">
        <v>43</v>
      </c>
      <c r="P20">
        <v>90</v>
      </c>
      <c r="Q20">
        <v>0</v>
      </c>
      <c r="R20">
        <v>0</v>
      </c>
      <c r="S20">
        <v>0</v>
      </c>
      <c r="T20">
        <v>2</v>
      </c>
      <c r="U20">
        <v>0</v>
      </c>
      <c r="V20">
        <v>0</v>
      </c>
      <c r="W20">
        <v>0</v>
      </c>
      <c r="X20">
        <v>0</v>
      </c>
      <c r="Y20">
        <v>0</v>
      </c>
      <c r="Z20">
        <v>1</v>
      </c>
      <c r="AA20">
        <v>0</v>
      </c>
      <c r="AB20">
        <v>4</v>
      </c>
      <c r="AC20">
        <v>-1040</v>
      </c>
      <c r="AD20" s="3">
        <v>5</v>
      </c>
      <c r="AE20">
        <v>1</v>
      </c>
    </row>
    <row r="21" spans="1:31">
      <c r="B21">
        <f>SUM(C21:L21)</f>
        <v>0.99048683982124608</v>
      </c>
      <c r="C21">
        <f>POISSON(C20,$B$14,FALSE)</f>
        <v>5.6134762834134329E-2</v>
      </c>
      <c r="D21">
        <f t="shared" ref="D21:J21" si="1">POISSON(D20,$B$14,FALSE)</f>
        <v>0.16166811696230687</v>
      </c>
      <c r="E21">
        <f t="shared" si="1"/>
        <v>0.23280208842572189</v>
      </c>
      <c r="F21">
        <f t="shared" si="1"/>
        <v>0.223490004888693</v>
      </c>
      <c r="G21">
        <f t="shared" si="1"/>
        <v>0.16091280351985895</v>
      </c>
      <c r="H21">
        <f t="shared" si="1"/>
        <v>9.2685774827438741E-2</v>
      </c>
      <c r="I21">
        <f t="shared" si="1"/>
        <v>4.4489171917170597E-2</v>
      </c>
      <c r="J21">
        <f t="shared" si="1"/>
        <v>1.8304116445921618E-2</v>
      </c>
      <c r="M21" s="2">
        <v>41637.625</v>
      </c>
      <c r="N21">
        <v>20</v>
      </c>
      <c r="O21" t="s">
        <v>97</v>
      </c>
      <c r="P21">
        <v>90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2</v>
      </c>
      <c r="AA21">
        <v>0</v>
      </c>
      <c r="AB21">
        <v>18</v>
      </c>
      <c r="AC21">
        <v>-1633</v>
      </c>
      <c r="AD21" s="3">
        <v>5</v>
      </c>
      <c r="AE21">
        <v>6</v>
      </c>
    </row>
    <row r="22" spans="1:31">
      <c r="A22" s="1"/>
      <c r="M22" s="2">
        <v>41275.625</v>
      </c>
      <c r="N22">
        <v>21</v>
      </c>
      <c r="O22" t="s">
        <v>98</v>
      </c>
      <c r="P22">
        <v>90</v>
      </c>
      <c r="Q22">
        <v>0</v>
      </c>
      <c r="R22">
        <v>0</v>
      </c>
      <c r="S22">
        <v>0</v>
      </c>
      <c r="T22">
        <v>4</v>
      </c>
      <c r="U22">
        <v>0</v>
      </c>
      <c r="V22">
        <v>0</v>
      </c>
      <c r="W22">
        <v>0</v>
      </c>
      <c r="X22">
        <v>0</v>
      </c>
      <c r="Y22">
        <v>0</v>
      </c>
      <c r="Z22">
        <v>3</v>
      </c>
      <c r="AA22">
        <v>0</v>
      </c>
      <c r="AB22">
        <v>6</v>
      </c>
      <c r="AC22">
        <v>-1005</v>
      </c>
      <c r="AD22" s="3">
        <v>5</v>
      </c>
      <c r="AE22">
        <v>1</v>
      </c>
    </row>
    <row r="23" spans="1:31">
      <c r="C23" s="9" t="s">
        <v>0</v>
      </c>
      <c r="D23" s="9"/>
      <c r="E23" s="9"/>
      <c r="F23" s="9"/>
      <c r="G23" s="9"/>
      <c r="H23" s="9"/>
      <c r="I23" s="9"/>
      <c r="J23" s="9"/>
      <c r="M23" s="2">
        <v>41286.625</v>
      </c>
      <c r="N23">
        <v>22</v>
      </c>
      <c r="O23" t="s">
        <v>99</v>
      </c>
      <c r="P23">
        <v>90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6</v>
      </c>
      <c r="AC23">
        <v>-5966</v>
      </c>
      <c r="AD23" s="3">
        <v>5</v>
      </c>
      <c r="AE23">
        <v>2</v>
      </c>
    </row>
    <row r="24" spans="1:31">
      <c r="C24">
        <v>0</v>
      </c>
      <c r="D24">
        <v>1</v>
      </c>
      <c r="E24">
        <v>2</v>
      </c>
      <c r="F24">
        <v>3</v>
      </c>
      <c r="G24">
        <v>4</v>
      </c>
      <c r="H24">
        <v>5</v>
      </c>
      <c r="I24">
        <v>6</v>
      </c>
      <c r="J24">
        <v>7</v>
      </c>
      <c r="M24" s="2">
        <v>41293.625</v>
      </c>
      <c r="N24">
        <v>23</v>
      </c>
      <c r="O24" t="s">
        <v>100</v>
      </c>
      <c r="P24">
        <v>90</v>
      </c>
      <c r="Q24">
        <v>0</v>
      </c>
      <c r="R24">
        <v>0</v>
      </c>
      <c r="S24">
        <v>0</v>
      </c>
      <c r="T24">
        <v>3</v>
      </c>
      <c r="U24">
        <v>0</v>
      </c>
      <c r="V24">
        <v>0</v>
      </c>
      <c r="W24">
        <v>0</v>
      </c>
      <c r="X24">
        <v>0</v>
      </c>
      <c r="Y24">
        <v>0</v>
      </c>
      <c r="Z24">
        <v>2</v>
      </c>
      <c r="AA24">
        <v>0</v>
      </c>
      <c r="AB24">
        <v>3</v>
      </c>
      <c r="AC24">
        <v>-3353</v>
      </c>
      <c r="AD24" s="3">
        <v>5</v>
      </c>
      <c r="AE24">
        <v>1</v>
      </c>
    </row>
    <row r="25" spans="1:31">
      <c r="A25" s="10" t="s">
        <v>1</v>
      </c>
      <c r="B25">
        <v>0</v>
      </c>
      <c r="C25">
        <f t="shared" ref="C25:J25" si="2">$C$18*C21</f>
        <v>8.2297470490201394E-3</v>
      </c>
      <c r="D25">
        <f t="shared" si="2"/>
        <v>2.3701671501178002E-2</v>
      </c>
      <c r="E25">
        <f t="shared" si="2"/>
        <v>3.4130406961696322E-2</v>
      </c>
      <c r="F25">
        <f t="shared" si="2"/>
        <v>3.2765190683228466E-2</v>
      </c>
      <c r="G25">
        <f t="shared" si="2"/>
        <v>2.3590937291924494E-2</v>
      </c>
      <c r="H25">
        <f t="shared" si="2"/>
        <v>1.3588379880148507E-2</v>
      </c>
      <c r="I25">
        <f t="shared" si="2"/>
        <v>6.522422342471283E-3</v>
      </c>
      <c r="J25">
        <f t="shared" si="2"/>
        <v>2.6835109066167566E-3</v>
      </c>
      <c r="K25">
        <f t="shared" ref="K25:K30" si="3">SUM(C25:J25)</f>
        <v>0.14521226661628395</v>
      </c>
      <c r="M25" s="2">
        <v>41303.822916666664</v>
      </c>
      <c r="N25">
        <v>24</v>
      </c>
      <c r="O25" t="s">
        <v>101</v>
      </c>
      <c r="P25">
        <v>90</v>
      </c>
      <c r="Q25">
        <v>0</v>
      </c>
      <c r="R25">
        <v>0</v>
      </c>
      <c r="S25">
        <v>0</v>
      </c>
      <c r="T25">
        <v>2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0</v>
      </c>
      <c r="AB25">
        <v>6</v>
      </c>
      <c r="AC25">
        <v>-4140</v>
      </c>
      <c r="AD25" s="3">
        <v>5</v>
      </c>
      <c r="AE25">
        <v>1</v>
      </c>
    </row>
    <row r="26" spans="1:31">
      <c r="A26" s="10"/>
      <c r="B26">
        <v>1</v>
      </c>
      <c r="C26">
        <f>D18*$C$21</f>
        <v>1.5801114334118668E-2</v>
      </c>
      <c r="D26">
        <f>D18*D21</f>
        <v>4.5507209282261769E-2</v>
      </c>
      <c r="E26">
        <f>E21*D18</f>
        <v>6.5530381366456947E-2</v>
      </c>
      <c r="F26">
        <f>$D$18*F21</f>
        <v>6.2909166111798656E-2</v>
      </c>
      <c r="G26">
        <f>$D$18*G21</f>
        <v>4.5294599600495034E-2</v>
      </c>
      <c r="H26">
        <f>$D$18*H21</f>
        <v>2.6089689369885136E-2</v>
      </c>
      <c r="I26">
        <f>$D$18*I21</f>
        <v>1.2523050897544866E-2</v>
      </c>
      <c r="J26">
        <f>$D$18*J21</f>
        <v>5.1523409407041735E-3</v>
      </c>
      <c r="K26">
        <f t="shared" si="3"/>
        <v>0.27880755190326523</v>
      </c>
      <c r="M26" s="2">
        <v>41307.625</v>
      </c>
      <c r="N26">
        <v>25</v>
      </c>
      <c r="O26" t="s">
        <v>102</v>
      </c>
      <c r="P26">
        <v>90</v>
      </c>
      <c r="Q26">
        <v>0</v>
      </c>
      <c r="R26">
        <v>0</v>
      </c>
      <c r="S26">
        <v>0</v>
      </c>
      <c r="T26">
        <v>2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6</v>
      </c>
      <c r="AC26">
        <v>-2324</v>
      </c>
      <c r="AD26" s="3">
        <v>5</v>
      </c>
      <c r="AE26">
        <v>1</v>
      </c>
    </row>
    <row r="27" spans="1:31">
      <c r="A27" s="10"/>
      <c r="B27">
        <v>2</v>
      </c>
      <c r="C27">
        <f>E18*$C$21</f>
        <v>1.5169069760753925E-2</v>
      </c>
      <c r="D27">
        <f>E18*D21</f>
        <v>4.3686920910971309E-2</v>
      </c>
      <c r="E27">
        <f>E18*E21</f>
        <v>6.2909166111798684E-2</v>
      </c>
      <c r="F27">
        <f>$E$18*F21</f>
        <v>6.039279946732673E-2</v>
      </c>
      <c r="G27">
        <f>$E$18*G21</f>
        <v>4.3482815616475247E-2</v>
      </c>
      <c r="H27">
        <f>$E$18*H21</f>
        <v>2.5046101795089735E-2</v>
      </c>
      <c r="I27">
        <f>$E$18*I21</f>
        <v>1.2022128861643075E-2</v>
      </c>
      <c r="J27">
        <f>$E$18*J21</f>
        <v>4.9462473030760078E-3</v>
      </c>
      <c r="K27">
        <f t="shared" si="3"/>
        <v>0.26765524982713473</v>
      </c>
      <c r="M27" s="2">
        <v>41314.625</v>
      </c>
      <c r="N27">
        <v>26</v>
      </c>
      <c r="O27" t="s">
        <v>103</v>
      </c>
      <c r="P27">
        <v>90</v>
      </c>
      <c r="Q27">
        <v>0</v>
      </c>
      <c r="R27">
        <v>0</v>
      </c>
      <c r="S27">
        <v>0</v>
      </c>
      <c r="T27">
        <v>4</v>
      </c>
      <c r="U27">
        <v>0</v>
      </c>
      <c r="V27">
        <v>0</v>
      </c>
      <c r="W27">
        <v>0</v>
      </c>
      <c r="X27">
        <v>0</v>
      </c>
      <c r="Y27">
        <v>0</v>
      </c>
      <c r="Z27">
        <v>8</v>
      </c>
      <c r="AA27">
        <v>0</v>
      </c>
      <c r="AB27">
        <v>7</v>
      </c>
      <c r="AC27">
        <v>-2177</v>
      </c>
      <c r="AD27" s="3">
        <v>5</v>
      </c>
      <c r="AE27">
        <v>2</v>
      </c>
    </row>
    <row r="28" spans="1:31">
      <c r="A28" s="10"/>
      <c r="B28">
        <v>3</v>
      </c>
      <c r="C28">
        <f t="shared" ref="C28:J28" si="4">$F$18*C21</f>
        <v>9.7082046468825144E-3</v>
      </c>
      <c r="D28">
        <f t="shared" si="4"/>
        <v>2.7959629383021642E-2</v>
      </c>
      <c r="E28">
        <f t="shared" si="4"/>
        <v>4.0261866311551167E-2</v>
      </c>
      <c r="F28">
        <f t="shared" si="4"/>
        <v>3.8651391659089117E-2</v>
      </c>
      <c r="G28">
        <f t="shared" si="4"/>
        <v>2.7829001994544161E-2</v>
      </c>
      <c r="H28">
        <f t="shared" si="4"/>
        <v>1.6029505148857433E-2</v>
      </c>
      <c r="I28">
        <f t="shared" si="4"/>
        <v>7.6941624714515688E-3</v>
      </c>
      <c r="J28">
        <f t="shared" si="4"/>
        <v>3.1655982739686454E-3</v>
      </c>
      <c r="K28">
        <f t="shared" si="3"/>
        <v>0.17129935988936626</v>
      </c>
      <c r="M28" s="2">
        <v>41328.625</v>
      </c>
      <c r="N28">
        <v>27</v>
      </c>
      <c r="O28" t="s">
        <v>104</v>
      </c>
      <c r="P28">
        <v>90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15</v>
      </c>
      <c r="AC28">
        <v>-1316</v>
      </c>
      <c r="AD28" s="3">
        <v>5</v>
      </c>
      <c r="AE28">
        <v>6</v>
      </c>
    </row>
    <row r="29" spans="1:31">
      <c r="A29" s="10"/>
      <c r="B29">
        <v>4</v>
      </c>
      <c r="C29">
        <f t="shared" ref="C29:J29" si="5">$G$18*C21</f>
        <v>4.6599382305036073E-3</v>
      </c>
      <c r="D29">
        <f t="shared" si="5"/>
        <v>1.342062210385039E-2</v>
      </c>
      <c r="E29">
        <f t="shared" si="5"/>
        <v>1.9325695829544562E-2</v>
      </c>
      <c r="F29">
        <f t="shared" si="5"/>
        <v>1.8552667996362775E-2</v>
      </c>
      <c r="G29">
        <f t="shared" si="5"/>
        <v>1.3357920957381199E-2</v>
      </c>
      <c r="H29">
        <f t="shared" si="5"/>
        <v>7.6941624714515688E-3</v>
      </c>
      <c r="I29">
        <f t="shared" si="5"/>
        <v>3.6931979862967531E-3</v>
      </c>
      <c r="J29">
        <f t="shared" si="5"/>
        <v>1.5194871715049499E-3</v>
      </c>
      <c r="K29">
        <f t="shared" si="3"/>
        <v>8.2223692746895796E-2</v>
      </c>
      <c r="M29" s="2">
        <v>41335.729166666664</v>
      </c>
      <c r="N29">
        <v>28</v>
      </c>
      <c r="O29" t="s">
        <v>105</v>
      </c>
      <c r="P29">
        <v>90</v>
      </c>
      <c r="Q29">
        <v>0</v>
      </c>
      <c r="R29">
        <v>0</v>
      </c>
      <c r="S29">
        <v>0</v>
      </c>
      <c r="T29">
        <v>4</v>
      </c>
      <c r="U29">
        <v>0</v>
      </c>
      <c r="V29">
        <v>0</v>
      </c>
      <c r="W29">
        <v>0</v>
      </c>
      <c r="X29">
        <v>0</v>
      </c>
      <c r="Y29">
        <v>0</v>
      </c>
      <c r="Z29">
        <v>1</v>
      </c>
      <c r="AA29">
        <v>0</v>
      </c>
      <c r="AB29">
        <v>2</v>
      </c>
      <c r="AC29">
        <v>-582</v>
      </c>
      <c r="AD29" s="3">
        <v>5</v>
      </c>
      <c r="AE29">
        <v>0</v>
      </c>
    </row>
    <row r="30" spans="1:31">
      <c r="A30" s="10"/>
      <c r="B30">
        <v>5</v>
      </c>
      <c r="C30">
        <f t="shared" ref="C30:J30" si="6">$H$18*C21</f>
        <v>1.7894162805133858E-3</v>
      </c>
      <c r="D30">
        <f t="shared" si="6"/>
        <v>5.1535188878785512E-3</v>
      </c>
      <c r="E30">
        <f t="shared" si="6"/>
        <v>7.4210671985451135E-3</v>
      </c>
      <c r="F30">
        <f t="shared" si="6"/>
        <v>7.1242245106033081E-3</v>
      </c>
      <c r="G30">
        <f t="shared" si="6"/>
        <v>5.1294416476343821E-3</v>
      </c>
      <c r="H30">
        <f t="shared" si="6"/>
        <v>2.9545583890374033E-3</v>
      </c>
      <c r="I30">
        <f t="shared" si="6"/>
        <v>1.4181880267379538E-3</v>
      </c>
      <c r="J30">
        <f t="shared" si="6"/>
        <v>5.8348307385790101E-4</v>
      </c>
      <c r="K30">
        <f t="shared" si="3"/>
        <v>3.1573898014807998E-2</v>
      </c>
      <c r="M30" s="2">
        <v>41350.666666666664</v>
      </c>
      <c r="N30">
        <v>30</v>
      </c>
      <c r="O30" t="s">
        <v>106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-96</v>
      </c>
      <c r="AD30" s="3">
        <v>5</v>
      </c>
      <c r="AE30">
        <v>0</v>
      </c>
    </row>
    <row r="31" spans="1:31">
      <c r="K31">
        <f>SUM(K25:K30)</f>
        <v>0.97677201899775401</v>
      </c>
      <c r="M31" s="2">
        <v>41363.625</v>
      </c>
      <c r="N31">
        <v>31</v>
      </c>
      <c r="O31" t="s">
        <v>107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150</v>
      </c>
      <c r="AD31" s="3">
        <v>4.9000000000000004</v>
      </c>
      <c r="AE31">
        <v>0</v>
      </c>
    </row>
    <row r="32" spans="1:31">
      <c r="A32" t="s">
        <v>17</v>
      </c>
      <c r="B32">
        <f>SUM(D25:J25,E26:J26,F27:J27,G28:J28,H29:J29,I30:J30)</f>
        <v>0.5699986275164306</v>
      </c>
      <c r="M32" s="2"/>
      <c r="AD32" s="3"/>
    </row>
    <row r="33" spans="1:30">
      <c r="A33" t="s">
        <v>18</v>
      </c>
      <c r="B33">
        <f>SUM(C25:J25)</f>
        <v>0.14521226661628395</v>
      </c>
      <c r="V33">
        <v>0</v>
      </c>
      <c r="X33">
        <v>0</v>
      </c>
      <c r="Y33">
        <v>0</v>
      </c>
      <c r="Z33">
        <f>(SUM(Z2:Z6)/COUNT(Z2:Z6))</f>
        <v>0</v>
      </c>
      <c r="AA33">
        <f>(SUM(AA2:AA6)/COUNT(AA2:AA6))</f>
        <v>0.4</v>
      </c>
    </row>
    <row r="34" spans="1:30">
      <c r="A34" t="s">
        <v>19</v>
      </c>
      <c r="B34">
        <f>SUM(C26:C30,D27:D30,E28:E30,F29:F30,G29)</f>
        <v>0.24339187734248208</v>
      </c>
      <c r="H34">
        <f>C18*4</f>
        <v>0.58642784852140206</v>
      </c>
      <c r="I34">
        <f>(C18*4)+(SUM(E18:F18)*-1)+(SUM(G18:H18)*-2)</f>
        <v>-8.6523839923243334E-2</v>
      </c>
      <c r="U34">
        <f>CORREL(T2:T32, Z2:Z32)</f>
        <v>0.25820183151655701</v>
      </c>
      <c r="Z34">
        <f>Z33*0.333333333</f>
        <v>0</v>
      </c>
    </row>
    <row r="35" spans="1:30">
      <c r="A35" t="s">
        <v>20</v>
      </c>
      <c r="B35">
        <f>SUM(C25:C30)</f>
        <v>5.5357490301792232E-2</v>
      </c>
      <c r="I35">
        <f>(SUM(E18:F18))</f>
        <v>0.44317056226180596</v>
      </c>
      <c r="J35">
        <f>I35*-1</f>
        <v>-0.44317056226180596</v>
      </c>
    </row>
    <row r="36" spans="1:30">
      <c r="A36" t="s">
        <v>23</v>
      </c>
      <c r="B36">
        <f>SUM(C25,D26,E27,F28,G29,H30)</f>
        <v>0.17160999344858832</v>
      </c>
      <c r="I36">
        <f>SUM(G18:H18)</f>
        <v>0.11489056309141972</v>
      </c>
      <c r="J36">
        <f>I36*-2</f>
        <v>-0.22978112618283944</v>
      </c>
      <c r="K36">
        <f>J36+J35+H34</f>
        <v>-8.6523839923243306E-2</v>
      </c>
      <c r="R36" s="4">
        <v>8.2297470490201394E-3</v>
      </c>
      <c r="S36" s="4">
        <v>2.3701671501178002E-2</v>
      </c>
      <c r="T36" s="4">
        <v>3.4130406961696322E-2</v>
      </c>
      <c r="U36" s="4">
        <v>3.2765190683228466E-2</v>
      </c>
      <c r="V36" s="4">
        <v>2.3590937291924494E-2</v>
      </c>
      <c r="W36" s="4">
        <v>1.3588379880148507E-2</v>
      </c>
      <c r="X36" s="4"/>
      <c r="Y36" s="4"/>
      <c r="Z36">
        <f>SUM(R36:Y36)</f>
        <v>0.13600633336719592</v>
      </c>
      <c r="AA36" s="4">
        <v>4</v>
      </c>
      <c r="AB36">
        <f>Z36*AA36</f>
        <v>0.54402533346878368</v>
      </c>
    </row>
    <row r="37" spans="1:30">
      <c r="A37" t="s">
        <v>21</v>
      </c>
      <c r="B37" t="s">
        <v>22</v>
      </c>
      <c r="E37">
        <v>1</v>
      </c>
      <c r="F37">
        <v>0.99</v>
      </c>
      <c r="G37">
        <f>POISSON(E37-1,F37,FALSE)</f>
        <v>0.3715766910220516</v>
      </c>
      <c r="H37">
        <f t="shared" ref="H37:H47" si="7">POISSON(E37, F37, FALSE)</f>
        <v>0.36786092411183108</v>
      </c>
      <c r="I37">
        <f>POISSON(E37+1,F37,FALSE)</f>
        <v>0.18209115743535639</v>
      </c>
      <c r="R37">
        <v>1.5801114334118668E-2</v>
      </c>
      <c r="S37">
        <v>4.5507209282261769E-2</v>
      </c>
      <c r="T37">
        <v>6.5530381366456947E-2</v>
      </c>
      <c r="U37">
        <v>6.2909166111798656E-2</v>
      </c>
      <c r="V37">
        <v>4.5294599600495034E-2</v>
      </c>
      <c r="W37">
        <v>2.6089689369885136E-2</v>
      </c>
      <c r="Z37">
        <f>SUM(R37:Y37)</f>
        <v>0.26113216006501622</v>
      </c>
      <c r="AA37">
        <v>0</v>
      </c>
    </row>
    <row r="38" spans="1:30">
      <c r="E38">
        <v>1</v>
      </c>
      <c r="F38">
        <v>1</v>
      </c>
      <c r="G38">
        <f>POISSON(E38-1,F38,FALSE)</f>
        <v>0.36787944117144911</v>
      </c>
      <c r="H38">
        <f t="shared" si="7"/>
        <v>0.36787944117144911</v>
      </c>
      <c r="I38">
        <f>POISSON(E38+1,F38,FALSE)</f>
        <v>0.18393972058572455</v>
      </c>
      <c r="R38" s="5">
        <v>1.5169069760753925E-2</v>
      </c>
      <c r="S38" s="5">
        <v>4.3686920910971309E-2</v>
      </c>
      <c r="T38" s="5">
        <v>6.2909166111798684E-2</v>
      </c>
      <c r="U38" s="5">
        <v>6.039279946732673E-2</v>
      </c>
      <c r="V38" s="5">
        <v>4.3482815616475247E-2</v>
      </c>
      <c r="W38" s="5">
        <v>2.5046101795089735E-2</v>
      </c>
      <c r="X38" s="5"/>
      <c r="Y38" s="5"/>
    </row>
    <row r="39" spans="1:30">
      <c r="E39">
        <v>1</v>
      </c>
      <c r="F39">
        <v>1.01</v>
      </c>
      <c r="G39">
        <f t="shared" ref="G39:G47" si="8">POISSON(E39-1,F39,FALSE)</f>
        <v>0.36421897957153127</v>
      </c>
      <c r="H39">
        <f t="shared" si="7"/>
        <v>0.36786116936724655</v>
      </c>
      <c r="I39">
        <f t="shared" ref="I39:I47" si="9">POISSON(E39+1,F39,FALSE)</f>
        <v>0.18576989053045953</v>
      </c>
      <c r="R39" s="5">
        <v>9.7082046468825144E-3</v>
      </c>
      <c r="S39" s="5">
        <v>2.7959629383021642E-2</v>
      </c>
      <c r="T39" s="5">
        <v>4.0261866311551167E-2</v>
      </c>
      <c r="U39" s="5">
        <v>3.8651391659089117E-2</v>
      </c>
      <c r="V39" s="5">
        <v>2.7829001994544161E-2</v>
      </c>
      <c r="W39" s="5">
        <v>1.6029505148857433E-2</v>
      </c>
      <c r="X39" s="5"/>
      <c r="Y39" s="5"/>
      <c r="Z39">
        <f>SUM(R38:Y38)+SUM(R39:Y39)</f>
        <v>0.41112647280636172</v>
      </c>
      <c r="AA39" s="5">
        <v>-1</v>
      </c>
      <c r="AB39">
        <f>Z39*AA39</f>
        <v>-0.41112647280636172</v>
      </c>
    </row>
    <row r="40" spans="1:30">
      <c r="E40">
        <v>1</v>
      </c>
      <c r="F40">
        <v>1.2</v>
      </c>
      <c r="G40">
        <f t="shared" si="8"/>
        <v>0.30119421191220819</v>
      </c>
      <c r="H40">
        <f t="shared" si="7"/>
        <v>0.36143305429464984</v>
      </c>
      <c r="I40">
        <f t="shared" si="9"/>
        <v>0.21685983257678987</v>
      </c>
      <c r="R40" s="6">
        <v>4.6599382305036073E-3</v>
      </c>
      <c r="S40" s="6">
        <v>1.342062210385039E-2</v>
      </c>
      <c r="T40" s="6">
        <v>1.9325695829544562E-2</v>
      </c>
      <c r="U40" s="6">
        <v>1.8552667996362775E-2</v>
      </c>
      <c r="V40" s="6">
        <v>1.3357920957381199E-2</v>
      </c>
      <c r="W40" s="6">
        <v>7.6941624714515688E-3</v>
      </c>
      <c r="X40" s="6"/>
      <c r="Y40" s="6"/>
    </row>
    <row r="41" spans="1:30">
      <c r="E41">
        <v>1</v>
      </c>
      <c r="F41">
        <v>1.3</v>
      </c>
      <c r="G41">
        <f t="shared" si="8"/>
        <v>0.27253179303401398</v>
      </c>
      <c r="H41">
        <f t="shared" si="7"/>
        <v>0.35429133094421822</v>
      </c>
      <c r="I41">
        <f t="shared" si="9"/>
        <v>0.23028936511374185</v>
      </c>
      <c r="R41" s="6">
        <v>1.7894162805133858E-3</v>
      </c>
      <c r="S41" s="6">
        <v>5.1535188878785512E-3</v>
      </c>
      <c r="T41" s="6">
        <v>7.4210671985451135E-3</v>
      </c>
      <c r="U41" s="6">
        <v>7.1242245106033081E-3</v>
      </c>
      <c r="V41" s="6">
        <v>5.1294416476343821E-3</v>
      </c>
      <c r="W41" s="6">
        <v>2.9545583890374033E-3</v>
      </c>
      <c r="X41" s="6"/>
      <c r="Y41" s="6"/>
      <c r="Z41">
        <f>SUM(R40:Y40)+SUM(R41:Y41)</f>
        <v>0.10658323450330624</v>
      </c>
      <c r="AA41" s="6">
        <v>-1</v>
      </c>
      <c r="AB41">
        <f>Z41*AA41</f>
        <v>-0.10658323450330624</v>
      </c>
    </row>
    <row r="42" spans="1:30">
      <c r="E42">
        <v>1</v>
      </c>
      <c r="F42">
        <v>1.4</v>
      </c>
      <c r="G42">
        <f t="shared" si="8"/>
        <v>0.2465969639416109</v>
      </c>
      <c r="H42">
        <f t="shared" si="7"/>
        <v>0.34523574951825525</v>
      </c>
      <c r="I42">
        <f t="shared" si="9"/>
        <v>0.24166502466277867</v>
      </c>
      <c r="R42">
        <f>SUM(R36:R41)</f>
        <v>5.5357490301792232E-2</v>
      </c>
      <c r="U42">
        <f>SUM(T36:U41)</f>
        <v>0.44997402420800187</v>
      </c>
      <c r="W42">
        <f>SUM(V36:W41)</f>
        <v>0.25008711416292428</v>
      </c>
      <c r="X42">
        <f>SUM(R42:W42)</f>
        <v>0.75541862867271836</v>
      </c>
      <c r="Z42">
        <f>SUM(Z36:Z41)</f>
        <v>0.91484820074188011</v>
      </c>
      <c r="AB42">
        <f>SUM(AB36:AB41)</f>
        <v>2.6315626159115715E-2</v>
      </c>
    </row>
    <row r="43" spans="1:30">
      <c r="E43">
        <v>1</v>
      </c>
      <c r="F43">
        <v>1.5</v>
      </c>
      <c r="G43">
        <f t="shared" si="8"/>
        <v>0.22313016014843082</v>
      </c>
      <c r="H43">
        <f t="shared" si="7"/>
        <v>0.33469524022264624</v>
      </c>
      <c r="I43">
        <f t="shared" si="9"/>
        <v>0.25102143016698469</v>
      </c>
      <c r="R43">
        <f>R42*4</f>
        <v>0.22142996120716893</v>
      </c>
      <c r="U43">
        <f>U42*-1</f>
        <v>-0.44997402420800187</v>
      </c>
      <c r="W43">
        <f>W42*-1</f>
        <v>-0.25008711416292428</v>
      </c>
      <c r="X43">
        <f>SUM(R43:W43)</f>
        <v>-0.47863117716375725</v>
      </c>
      <c r="AC43" t="s">
        <v>81</v>
      </c>
      <c r="AD43">
        <f>AB42+Z34+AA33</f>
        <v>0.42631562615911572</v>
      </c>
    </row>
    <row r="44" spans="1:30">
      <c r="E44">
        <v>1</v>
      </c>
      <c r="F44">
        <v>1.6</v>
      </c>
      <c r="G44">
        <f t="shared" si="8"/>
        <v>0.20189651799465819</v>
      </c>
      <c r="H44">
        <f t="shared" si="7"/>
        <v>0.32303442879145311</v>
      </c>
      <c r="I44">
        <f t="shared" si="9"/>
        <v>0.25842754303316251</v>
      </c>
      <c r="U44">
        <f>SUM(R43:U43)</f>
        <v>-0.22854406300083294</v>
      </c>
      <c r="W44">
        <f>SUM(R43:W43)</f>
        <v>-0.47863117716375725</v>
      </c>
    </row>
    <row r="45" spans="1:30">
      <c r="E45">
        <v>1</v>
      </c>
      <c r="F45">
        <v>1.7</v>
      </c>
      <c r="G45">
        <f t="shared" si="8"/>
        <v>0.18268352405273522</v>
      </c>
      <c r="H45">
        <f t="shared" si="7"/>
        <v>0.31056199088964986</v>
      </c>
      <c r="I45">
        <f t="shared" si="9"/>
        <v>0.26397769225620238</v>
      </c>
      <c r="T45">
        <f>SUM(T36:T41)</f>
        <v>0.22957858377959281</v>
      </c>
      <c r="V45">
        <f>SUM(V36:V41)</f>
        <v>0.1586847171084545</v>
      </c>
    </row>
    <row r="46" spans="1:30">
      <c r="E46">
        <v>1</v>
      </c>
      <c r="F46">
        <v>1.8</v>
      </c>
      <c r="G46">
        <f t="shared" si="8"/>
        <v>0.16529888822158814</v>
      </c>
      <c r="H46">
        <f t="shared" si="7"/>
        <v>0.29753799879885862</v>
      </c>
      <c r="I46">
        <f t="shared" si="9"/>
        <v>0.26778419891897276</v>
      </c>
      <c r="T46">
        <f>T45*-1</f>
        <v>-0.22957858377959281</v>
      </c>
      <c r="V46">
        <f>V45*-1</f>
        <v>-0.1586847171084545</v>
      </c>
    </row>
    <row r="47" spans="1:30">
      <c r="E47">
        <v>1</v>
      </c>
      <c r="F47">
        <v>1.99</v>
      </c>
      <c r="G47">
        <f t="shared" si="8"/>
        <v>0.13669542544552463</v>
      </c>
      <c r="H47">
        <f t="shared" si="7"/>
        <v>0.27202389663659404</v>
      </c>
      <c r="I47">
        <f t="shared" si="9"/>
        <v>0.27066377715341106</v>
      </c>
      <c r="T47">
        <f>T46+R43</f>
        <v>-8.1486225724238803E-3</v>
      </c>
      <c r="V47">
        <f>V46+U43+R43</f>
        <v>-0.38722878010928741</v>
      </c>
    </row>
    <row r="48" spans="1:30">
      <c r="R48">
        <v>0</v>
      </c>
      <c r="S48">
        <v>1</v>
      </c>
      <c r="T48">
        <v>2</v>
      </c>
      <c r="U48">
        <v>3</v>
      </c>
      <c r="V48">
        <v>4</v>
      </c>
      <c r="W48">
        <v>5</v>
      </c>
    </row>
    <row r="49" spans="16:30">
      <c r="P49">
        <f>SUM(R49:W49)</f>
        <v>0.13600633336719592</v>
      </c>
      <c r="Q49">
        <v>0</v>
      </c>
      <c r="R49" s="4">
        <v>8.2297470490201394E-3</v>
      </c>
      <c r="S49" s="4">
        <v>2.3701671501178002E-2</v>
      </c>
      <c r="T49" s="4">
        <v>3.4130406961696322E-2</v>
      </c>
      <c r="U49" s="4">
        <v>3.2765190683228466E-2</v>
      </c>
      <c r="V49" s="4">
        <v>2.3590937291924494E-2</v>
      </c>
      <c r="W49" s="4">
        <v>1.3588379880148507E-2</v>
      </c>
      <c r="X49">
        <f>S49*(S$48*0.2)</f>
        <v>4.7403343002356008E-3</v>
      </c>
      <c r="Y49">
        <f>T49*(T48*0.2)</f>
        <v>1.3652162784678529E-2</v>
      </c>
      <c r="Z49">
        <f>U49*(U48*0.2)</f>
        <v>1.9659114409937083E-2</v>
      </c>
      <c r="AA49">
        <f>V49*(V48*0.2)</f>
        <v>1.8872749833539596E-2</v>
      </c>
      <c r="AB49">
        <f>W49*(W48*0.2)</f>
        <v>1.3588379880148507E-2</v>
      </c>
    </row>
    <row r="50" spans="16:30">
      <c r="Q50">
        <v>1</v>
      </c>
      <c r="R50">
        <v>1.5801114334118668E-2</v>
      </c>
      <c r="S50">
        <v>4.5507209282261769E-2</v>
      </c>
      <c r="T50">
        <v>6.5530381366456947E-2</v>
      </c>
      <c r="U50">
        <v>6.2909166111798656E-2</v>
      </c>
      <c r="V50">
        <v>4.5294599600495034E-2</v>
      </c>
      <c r="W50">
        <v>2.6089689369885136E-2</v>
      </c>
      <c r="X50">
        <f t="shared" ref="X50:X54" si="10">S50*(S$48*0.2)</f>
        <v>9.1014418564523535E-3</v>
      </c>
      <c r="Y50">
        <f t="shared" ref="Y50:AB54" si="11">T50*(T$48*0.2)</f>
        <v>2.6212152546582781E-2</v>
      </c>
      <c r="Z50">
        <f t="shared" si="11"/>
        <v>3.7745499667079199E-2</v>
      </c>
      <c r="AA50">
        <f t="shared" si="11"/>
        <v>3.6235679680396031E-2</v>
      </c>
      <c r="AB50">
        <f t="shared" si="11"/>
        <v>2.6089689369885136E-2</v>
      </c>
    </row>
    <row r="51" spans="16:30">
      <c r="Q51">
        <v>2</v>
      </c>
      <c r="R51" s="5">
        <v>1.5169069760753925E-2</v>
      </c>
      <c r="S51" s="5">
        <v>4.3686920910971309E-2</v>
      </c>
      <c r="T51" s="5">
        <v>6.2909166111798684E-2</v>
      </c>
      <c r="U51" s="5">
        <v>6.039279946732673E-2</v>
      </c>
      <c r="V51" s="5">
        <v>4.3482815616475247E-2</v>
      </c>
      <c r="W51" s="5">
        <v>2.5046101795089735E-2</v>
      </c>
      <c r="X51">
        <f t="shared" si="10"/>
        <v>8.7373841821942622E-3</v>
      </c>
      <c r="Y51">
        <f t="shared" si="11"/>
        <v>2.5163666444719474E-2</v>
      </c>
      <c r="Z51">
        <f t="shared" si="11"/>
        <v>3.6235679680396045E-2</v>
      </c>
      <c r="AA51">
        <f t="shared" si="11"/>
        <v>3.4786252493180202E-2</v>
      </c>
      <c r="AB51">
        <f t="shared" si="11"/>
        <v>2.5046101795089735E-2</v>
      </c>
    </row>
    <row r="52" spans="16:30">
      <c r="Q52">
        <v>3</v>
      </c>
      <c r="R52" s="5">
        <v>9.7082046468825144E-3</v>
      </c>
      <c r="S52" s="5">
        <v>2.7959629383021642E-2</v>
      </c>
      <c r="T52" s="5">
        <v>4.0261866311551167E-2</v>
      </c>
      <c r="U52" s="5">
        <v>3.8651391659089117E-2</v>
      </c>
      <c r="V52" s="5">
        <v>2.7829001994544161E-2</v>
      </c>
      <c r="W52" s="5">
        <v>1.6029505148857433E-2</v>
      </c>
      <c r="X52">
        <f t="shared" si="10"/>
        <v>5.5919258766043284E-3</v>
      </c>
      <c r="Y52">
        <f t="shared" si="11"/>
        <v>1.6104746524620468E-2</v>
      </c>
      <c r="Z52">
        <f t="shared" si="11"/>
        <v>2.3190834995453474E-2</v>
      </c>
      <c r="AA52">
        <f t="shared" si="11"/>
        <v>2.2263201595635329E-2</v>
      </c>
      <c r="AB52">
        <f t="shared" si="11"/>
        <v>1.6029505148857433E-2</v>
      </c>
    </row>
    <row r="53" spans="16:30">
      <c r="Q53">
        <v>4</v>
      </c>
      <c r="R53" s="6">
        <v>4.6599382305036073E-3</v>
      </c>
      <c r="S53" s="6">
        <v>1.342062210385039E-2</v>
      </c>
      <c r="T53" s="6">
        <v>1.9325695829544562E-2</v>
      </c>
      <c r="U53" s="6">
        <v>1.8552667996362775E-2</v>
      </c>
      <c r="V53" s="6">
        <v>1.3357920957381199E-2</v>
      </c>
      <c r="W53" s="6">
        <v>7.6941624714515688E-3</v>
      </c>
      <c r="X53">
        <f t="shared" si="10"/>
        <v>2.684124420770078E-3</v>
      </c>
      <c r="Y53">
        <f t="shared" si="11"/>
        <v>7.7302783318178251E-3</v>
      </c>
      <c r="Z53">
        <f t="shared" si="11"/>
        <v>1.1131600797817666E-2</v>
      </c>
      <c r="AA53">
        <f t="shared" si="11"/>
        <v>1.068633676590496E-2</v>
      </c>
      <c r="AB53">
        <f t="shared" si="11"/>
        <v>7.6941624714515688E-3</v>
      </c>
    </row>
    <row r="54" spans="16:30">
      <c r="Q54">
        <v>5</v>
      </c>
      <c r="R54" s="6">
        <v>1.7894162805133858E-3</v>
      </c>
      <c r="S54" s="6">
        <v>5.1535188878785512E-3</v>
      </c>
      <c r="T54" s="6">
        <v>7.4210671985451135E-3</v>
      </c>
      <c r="U54" s="6">
        <v>7.1242245106033081E-3</v>
      </c>
      <c r="V54" s="6">
        <v>5.1294416476343821E-3</v>
      </c>
      <c r="W54" s="6">
        <v>2.9545583890374033E-3</v>
      </c>
      <c r="X54">
        <f t="shared" si="10"/>
        <v>1.0307037775757102E-3</v>
      </c>
      <c r="Y54">
        <f t="shared" si="11"/>
        <v>2.9684268794180455E-3</v>
      </c>
      <c r="Z54">
        <f t="shared" si="11"/>
        <v>4.2745347063619854E-3</v>
      </c>
      <c r="AA54">
        <f t="shared" si="11"/>
        <v>4.1035533181075058E-3</v>
      </c>
      <c r="AB54">
        <f t="shared" si="11"/>
        <v>2.9545583890374033E-3</v>
      </c>
    </row>
    <row r="55" spans="16:30">
      <c r="S55">
        <f>SUM(S49:S54)</f>
        <v>0.15942957206916164</v>
      </c>
      <c r="T55">
        <f>SUM(T49:T54)*2</f>
        <v>0.45915716755918562</v>
      </c>
      <c r="U55">
        <f>SUM(U49:U54)*3</f>
        <v>0.66118632128522714</v>
      </c>
      <c r="V55">
        <f>SUM(V49:V54)*4</f>
        <v>0.63473886843381799</v>
      </c>
      <c r="W55">
        <f>SUM(W49:W54)*5</f>
        <v>0.45701198527234888</v>
      </c>
      <c r="AB55" t="s">
        <v>108</v>
      </c>
      <c r="AC55">
        <f>SUM(X49:AB54)*6</f>
        <v>2.8458286975436904</v>
      </c>
    </row>
    <row r="56" spans="16:30">
      <c r="W56">
        <f>SUM(S55:W55)*0.2*6</f>
        <v>2.8458286975436899</v>
      </c>
      <c r="AB56" t="s">
        <v>109</v>
      </c>
      <c r="AC56">
        <f>SUM(X49:AB54)*2*3</f>
        <v>2.8458286975436904</v>
      </c>
    </row>
    <row r="57" spans="16:30">
      <c r="AB57" t="s">
        <v>110</v>
      </c>
      <c r="AC57">
        <f>AB42</f>
        <v>2.6315626159115715E-2</v>
      </c>
    </row>
    <row r="58" spans="16:30">
      <c r="AB58" t="s">
        <v>111</v>
      </c>
      <c r="AC58">
        <f>AA33</f>
        <v>0.4</v>
      </c>
      <c r="AD58">
        <f>SUM(AC57:AC58)</f>
        <v>0.42631562615911572</v>
      </c>
    </row>
    <row r="59" spans="16:30">
      <c r="AC59">
        <f>SUM(AC55:AC58)</f>
        <v>6.1179730212464971</v>
      </c>
    </row>
  </sheetData>
  <mergeCells count="4">
    <mergeCell ref="C16:H16"/>
    <mergeCell ref="C19:H19"/>
    <mergeCell ref="C23:J23"/>
    <mergeCell ref="A25:A3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47"/>
  <sheetViews>
    <sheetView topLeftCell="A19" workbookViewId="0">
      <selection activeCell="AD44" sqref="AD44"/>
    </sheetView>
  </sheetViews>
  <sheetFormatPr defaultRowHeight="15"/>
  <cols>
    <col min="1" max="1" width="26.28515625" bestFit="1" customWidth="1"/>
    <col min="2" max="3" width="9.140625" customWidth="1"/>
    <col min="15" max="15" width="13" customWidth="1"/>
    <col min="19" max="19" width="12.42578125" bestFit="1" customWidth="1"/>
    <col min="22" max="22" width="9.140625" customWidth="1"/>
  </cols>
  <sheetData>
    <row r="1" spans="1:31">
      <c r="A1" t="s">
        <v>2</v>
      </c>
      <c r="B1">
        <v>5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  <c r="Z1" t="s">
        <v>78</v>
      </c>
      <c r="AA1" t="s">
        <v>79</v>
      </c>
      <c r="AE1" t="s">
        <v>80</v>
      </c>
    </row>
    <row r="2" spans="1:31">
      <c r="A2" t="s">
        <v>3</v>
      </c>
      <c r="B2">
        <v>5</v>
      </c>
      <c r="M2" s="2">
        <v>41505.5625</v>
      </c>
      <c r="N2">
        <v>1</v>
      </c>
      <c r="O2" t="s">
        <v>82</v>
      </c>
      <c r="P2">
        <v>90</v>
      </c>
      <c r="Q2">
        <v>0</v>
      </c>
      <c r="R2">
        <v>0</v>
      </c>
      <c r="S2">
        <v>0</v>
      </c>
      <c r="T2">
        <v>2</v>
      </c>
      <c r="U2">
        <v>0</v>
      </c>
      <c r="V2">
        <v>0</v>
      </c>
      <c r="W2">
        <v>0</v>
      </c>
      <c r="X2">
        <v>0</v>
      </c>
      <c r="Y2">
        <v>0</v>
      </c>
      <c r="Z2">
        <v>1</v>
      </c>
      <c r="AA2">
        <v>0</v>
      </c>
      <c r="AB2">
        <v>3</v>
      </c>
      <c r="AC2">
        <v>0</v>
      </c>
      <c r="AD2" s="3">
        <v>5</v>
      </c>
      <c r="AE2">
        <v>1</v>
      </c>
    </row>
    <row r="3" spans="1:31">
      <c r="A3" t="s">
        <v>4</v>
      </c>
      <c r="B3">
        <v>3</v>
      </c>
      <c r="M3" s="2">
        <v>41511.625</v>
      </c>
      <c r="N3">
        <v>2</v>
      </c>
      <c r="O3" t="s">
        <v>83</v>
      </c>
      <c r="P3">
        <v>90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6</v>
      </c>
      <c r="AA3">
        <v>2</v>
      </c>
      <c r="AB3">
        <v>23</v>
      </c>
      <c r="AC3">
        <v>-3440</v>
      </c>
      <c r="AD3" s="3">
        <v>5</v>
      </c>
      <c r="AE3">
        <v>10</v>
      </c>
    </row>
    <row r="4" spans="1:31">
      <c r="A4" t="s">
        <v>5</v>
      </c>
      <c r="B4">
        <v>2</v>
      </c>
      <c r="M4" s="2">
        <v>41518.625</v>
      </c>
      <c r="N4">
        <v>3</v>
      </c>
      <c r="O4" t="s">
        <v>84</v>
      </c>
      <c r="P4">
        <v>90</v>
      </c>
      <c r="Q4">
        <v>0</v>
      </c>
      <c r="R4">
        <v>0</v>
      </c>
      <c r="S4">
        <v>0</v>
      </c>
      <c r="T4">
        <v>2</v>
      </c>
      <c r="U4">
        <v>0</v>
      </c>
      <c r="V4">
        <v>0</v>
      </c>
      <c r="W4">
        <v>0</v>
      </c>
      <c r="X4">
        <v>0</v>
      </c>
      <c r="Y4">
        <v>0</v>
      </c>
      <c r="Z4">
        <v>5</v>
      </c>
      <c r="AA4">
        <v>0</v>
      </c>
      <c r="AB4">
        <v>11</v>
      </c>
      <c r="AC4">
        <v>17162</v>
      </c>
      <c r="AD4" s="3">
        <v>5</v>
      </c>
      <c r="AE4">
        <v>2</v>
      </c>
    </row>
    <row r="5" spans="1:31">
      <c r="A5" t="s">
        <v>10</v>
      </c>
      <c r="B5">
        <v>2.5</v>
      </c>
      <c r="M5" s="2">
        <v>41532.625</v>
      </c>
      <c r="N5">
        <v>4</v>
      </c>
      <c r="O5" t="s">
        <v>85</v>
      </c>
      <c r="P5">
        <v>90</v>
      </c>
      <c r="Q5">
        <v>0</v>
      </c>
      <c r="R5">
        <v>0</v>
      </c>
      <c r="S5">
        <v>0</v>
      </c>
      <c r="T5">
        <v>4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2</v>
      </c>
      <c r="AC5">
        <v>-894</v>
      </c>
      <c r="AD5" s="3">
        <v>5</v>
      </c>
      <c r="AE5">
        <v>5</v>
      </c>
    </row>
    <row r="6" spans="1:31">
      <c r="A6" t="s">
        <v>11</v>
      </c>
      <c r="B6">
        <v>2.5</v>
      </c>
      <c r="M6" s="2">
        <v>41539.625</v>
      </c>
      <c r="N6">
        <v>5</v>
      </c>
      <c r="O6" t="s">
        <v>86</v>
      </c>
      <c r="P6">
        <v>90</v>
      </c>
      <c r="Q6">
        <v>0</v>
      </c>
      <c r="R6">
        <v>0</v>
      </c>
      <c r="S6">
        <v>0</v>
      </c>
      <c r="T6">
        <v>2</v>
      </c>
      <c r="U6">
        <v>0</v>
      </c>
      <c r="V6">
        <v>0</v>
      </c>
      <c r="W6">
        <v>0</v>
      </c>
      <c r="X6">
        <v>0</v>
      </c>
      <c r="Y6">
        <v>0</v>
      </c>
      <c r="Z6">
        <v>6</v>
      </c>
      <c r="AA6">
        <v>0</v>
      </c>
      <c r="AB6">
        <v>8</v>
      </c>
      <c r="AC6">
        <v>2934</v>
      </c>
      <c r="AD6" s="3">
        <v>5</v>
      </c>
      <c r="AE6">
        <v>3</v>
      </c>
    </row>
    <row r="7" spans="1:31">
      <c r="A7" t="s">
        <v>6</v>
      </c>
      <c r="B7">
        <f>3/B5</f>
        <v>1.2</v>
      </c>
      <c r="M7" s="2">
        <v>41546.625</v>
      </c>
      <c r="N7">
        <v>6</v>
      </c>
      <c r="O7" t="s">
        <v>87</v>
      </c>
      <c r="P7">
        <v>90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2</v>
      </c>
      <c r="AA7">
        <v>0</v>
      </c>
      <c r="AB7">
        <v>4</v>
      </c>
      <c r="AC7">
        <v>79</v>
      </c>
      <c r="AD7" s="3">
        <v>5</v>
      </c>
      <c r="AE7">
        <v>2</v>
      </c>
    </row>
    <row r="8" spans="1:31">
      <c r="A8" t="s">
        <v>7</v>
      </c>
      <c r="B8">
        <f>2/B5</f>
        <v>0.8</v>
      </c>
      <c r="D8">
        <f>2/B5</f>
        <v>0.8</v>
      </c>
      <c r="M8" s="2">
        <v>41553.625</v>
      </c>
      <c r="N8">
        <v>7</v>
      </c>
      <c r="O8" t="s">
        <v>88</v>
      </c>
      <c r="P8">
        <v>90</v>
      </c>
      <c r="Q8">
        <v>0</v>
      </c>
      <c r="R8">
        <v>0</v>
      </c>
      <c r="S8">
        <v>0</v>
      </c>
      <c r="T8">
        <v>2</v>
      </c>
      <c r="U8">
        <v>0</v>
      </c>
      <c r="V8">
        <v>0</v>
      </c>
      <c r="W8">
        <v>0</v>
      </c>
      <c r="X8">
        <v>0</v>
      </c>
      <c r="Y8">
        <v>0</v>
      </c>
      <c r="Z8">
        <v>5</v>
      </c>
      <c r="AA8">
        <v>0</v>
      </c>
      <c r="AB8">
        <v>11</v>
      </c>
      <c r="AC8">
        <v>-889</v>
      </c>
      <c r="AD8" s="3">
        <v>5</v>
      </c>
      <c r="AE8">
        <v>2</v>
      </c>
    </row>
    <row r="9" spans="1:31">
      <c r="A9" t="s">
        <v>8</v>
      </c>
      <c r="B9">
        <f>2/B6</f>
        <v>0.8</v>
      </c>
      <c r="M9" s="2">
        <v>41567.625</v>
      </c>
      <c r="N9">
        <v>8</v>
      </c>
      <c r="O9" t="s">
        <v>89</v>
      </c>
      <c r="P9">
        <v>90</v>
      </c>
      <c r="Q9">
        <v>0</v>
      </c>
      <c r="R9">
        <v>0</v>
      </c>
      <c r="S9">
        <v>0</v>
      </c>
      <c r="T9">
        <v>2</v>
      </c>
      <c r="U9">
        <v>0</v>
      </c>
      <c r="V9">
        <v>0</v>
      </c>
      <c r="W9">
        <v>0</v>
      </c>
      <c r="X9">
        <v>0</v>
      </c>
      <c r="Y9">
        <v>0</v>
      </c>
      <c r="Z9">
        <v>6</v>
      </c>
      <c r="AA9">
        <v>0</v>
      </c>
      <c r="AB9">
        <v>10</v>
      </c>
      <c r="AC9">
        <v>-834</v>
      </c>
      <c r="AD9" s="3">
        <v>5</v>
      </c>
      <c r="AE9">
        <v>3</v>
      </c>
    </row>
    <row r="10" spans="1:31">
      <c r="A10" t="s">
        <v>9</v>
      </c>
      <c r="B10">
        <f>3/B5</f>
        <v>1.2</v>
      </c>
      <c r="M10" s="2">
        <v>41574.625</v>
      </c>
      <c r="N10">
        <v>9</v>
      </c>
      <c r="O10" t="s">
        <v>90</v>
      </c>
      <c r="P10">
        <v>90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4</v>
      </c>
      <c r="AA10">
        <v>0</v>
      </c>
      <c r="AB10">
        <v>18</v>
      </c>
      <c r="AC10">
        <v>-1121</v>
      </c>
      <c r="AD10" s="3">
        <v>5</v>
      </c>
      <c r="AE10">
        <v>3</v>
      </c>
    </row>
    <row r="11" spans="1:31">
      <c r="M11" s="2">
        <v>41581.625</v>
      </c>
      <c r="N11">
        <v>10</v>
      </c>
      <c r="O11" t="s">
        <v>91</v>
      </c>
      <c r="P11">
        <v>90</v>
      </c>
      <c r="Q11">
        <v>0</v>
      </c>
      <c r="R11">
        <v>0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5</v>
      </c>
      <c r="AA11">
        <v>0</v>
      </c>
      <c r="AB11">
        <v>20</v>
      </c>
      <c r="AC11">
        <v>-2137</v>
      </c>
      <c r="AD11" s="3">
        <v>5</v>
      </c>
      <c r="AE11">
        <v>7</v>
      </c>
    </row>
    <row r="12" spans="1:31">
      <c r="A12" t="s">
        <v>12</v>
      </c>
      <c r="M12" s="2">
        <v>41588.625</v>
      </c>
      <c r="N12">
        <v>11</v>
      </c>
      <c r="O12" t="s">
        <v>92</v>
      </c>
      <c r="P12">
        <v>90</v>
      </c>
      <c r="Q12">
        <v>0</v>
      </c>
      <c r="R12">
        <v>0</v>
      </c>
      <c r="S12">
        <v>0</v>
      </c>
      <c r="T12">
        <v>2</v>
      </c>
      <c r="U12">
        <v>0</v>
      </c>
      <c r="V12">
        <v>0</v>
      </c>
      <c r="W12">
        <v>0</v>
      </c>
      <c r="X12">
        <v>0</v>
      </c>
      <c r="Y12">
        <v>0</v>
      </c>
      <c r="Z12">
        <v>3</v>
      </c>
      <c r="AA12">
        <v>0</v>
      </c>
      <c r="AB12">
        <v>5</v>
      </c>
      <c r="AC12">
        <v>2670</v>
      </c>
      <c r="AD12" s="3">
        <v>5</v>
      </c>
      <c r="AE12">
        <v>2</v>
      </c>
    </row>
    <row r="13" spans="1:31">
      <c r="A13" t="s">
        <v>13</v>
      </c>
      <c r="B13">
        <f>B3*B8*B9</f>
        <v>1.9200000000000004</v>
      </c>
      <c r="M13" s="2">
        <v>41595.625</v>
      </c>
      <c r="N13">
        <v>12</v>
      </c>
      <c r="O13" t="s">
        <v>54</v>
      </c>
      <c r="P13">
        <v>90</v>
      </c>
      <c r="Q13">
        <v>0</v>
      </c>
      <c r="R13">
        <v>0</v>
      </c>
      <c r="S13">
        <v>0</v>
      </c>
      <c r="T13">
        <v>3</v>
      </c>
      <c r="U13">
        <v>0</v>
      </c>
      <c r="V13">
        <v>0</v>
      </c>
      <c r="W13">
        <v>0</v>
      </c>
      <c r="X13">
        <v>0</v>
      </c>
      <c r="Y13">
        <v>0</v>
      </c>
      <c r="Z13">
        <v>2</v>
      </c>
      <c r="AA13">
        <v>0</v>
      </c>
      <c r="AB13">
        <v>10</v>
      </c>
      <c r="AC13">
        <v>-957</v>
      </c>
      <c r="AD13" s="3">
        <v>5</v>
      </c>
      <c r="AE13">
        <v>1</v>
      </c>
    </row>
    <row r="14" spans="1:31">
      <c r="A14" t="s">
        <v>14</v>
      </c>
      <c r="B14">
        <f>B4*B7*B10</f>
        <v>2.88</v>
      </c>
      <c r="M14" s="2">
        <v>41602.625</v>
      </c>
      <c r="N14">
        <v>13</v>
      </c>
      <c r="O14" t="s">
        <v>93</v>
      </c>
      <c r="P14">
        <v>90</v>
      </c>
      <c r="Q14">
        <v>0</v>
      </c>
      <c r="R14">
        <v>0</v>
      </c>
      <c r="S14">
        <v>0</v>
      </c>
      <c r="T14">
        <v>2</v>
      </c>
      <c r="U14">
        <v>1</v>
      </c>
      <c r="V14">
        <v>0</v>
      </c>
      <c r="W14">
        <v>0</v>
      </c>
      <c r="X14">
        <v>0</v>
      </c>
      <c r="Y14">
        <v>0</v>
      </c>
      <c r="Z14">
        <v>4</v>
      </c>
      <c r="AA14">
        <v>0</v>
      </c>
      <c r="AB14">
        <v>17</v>
      </c>
      <c r="AC14">
        <v>848</v>
      </c>
      <c r="AD14" s="3">
        <v>5</v>
      </c>
      <c r="AE14">
        <v>0</v>
      </c>
    </row>
    <row r="15" spans="1:31">
      <c r="M15" s="2">
        <v>41606.833333333336</v>
      </c>
      <c r="N15">
        <v>14</v>
      </c>
      <c r="O15" t="s">
        <v>94</v>
      </c>
      <c r="P15">
        <v>90</v>
      </c>
      <c r="Q15">
        <v>0</v>
      </c>
      <c r="R15">
        <v>0</v>
      </c>
      <c r="S15">
        <v>0</v>
      </c>
      <c r="T15">
        <v>2</v>
      </c>
      <c r="U15">
        <v>0</v>
      </c>
      <c r="V15">
        <v>0</v>
      </c>
      <c r="W15">
        <v>0</v>
      </c>
      <c r="X15">
        <v>0</v>
      </c>
      <c r="Y15">
        <v>0</v>
      </c>
      <c r="Z15">
        <v>3</v>
      </c>
      <c r="AA15">
        <v>0</v>
      </c>
      <c r="AB15">
        <v>5</v>
      </c>
      <c r="AC15">
        <v>-2735</v>
      </c>
      <c r="AD15" s="3">
        <v>5</v>
      </c>
      <c r="AE15">
        <v>2</v>
      </c>
    </row>
    <row r="16" spans="1:31">
      <c r="A16" t="s">
        <v>15</v>
      </c>
      <c r="C16" s="9" t="s">
        <v>1</v>
      </c>
      <c r="D16" s="9"/>
      <c r="E16" s="9"/>
      <c r="F16" s="9"/>
      <c r="G16" s="9"/>
      <c r="H16" s="9"/>
      <c r="M16" s="2">
        <v>41611.833333333336</v>
      </c>
      <c r="N16">
        <v>15</v>
      </c>
      <c r="O16" t="s">
        <v>95</v>
      </c>
      <c r="P16">
        <v>90</v>
      </c>
      <c r="Q16">
        <v>0</v>
      </c>
      <c r="R16">
        <v>0</v>
      </c>
      <c r="S16">
        <v>0</v>
      </c>
      <c r="T16">
        <v>3</v>
      </c>
      <c r="U16">
        <v>0</v>
      </c>
      <c r="V16">
        <v>0</v>
      </c>
      <c r="W16">
        <v>0</v>
      </c>
      <c r="X16">
        <v>0</v>
      </c>
      <c r="Y16">
        <v>0</v>
      </c>
      <c r="Z16">
        <v>5</v>
      </c>
      <c r="AA16">
        <v>0</v>
      </c>
      <c r="AB16">
        <v>8</v>
      </c>
      <c r="AC16">
        <v>1715</v>
      </c>
      <c r="AD16" s="3">
        <v>5</v>
      </c>
      <c r="AE16">
        <v>2</v>
      </c>
    </row>
    <row r="17" spans="1:31">
      <c r="A17" s="1"/>
      <c r="B17" t="s">
        <v>16</v>
      </c>
      <c r="C17">
        <v>0</v>
      </c>
      <c r="D17">
        <v>1</v>
      </c>
      <c r="E17">
        <v>2</v>
      </c>
      <c r="F17">
        <v>3</v>
      </c>
      <c r="G17">
        <v>4</v>
      </c>
      <c r="H17">
        <v>5</v>
      </c>
      <c r="M17" s="2">
        <v>41616.625</v>
      </c>
      <c r="N17">
        <v>16</v>
      </c>
      <c r="O17" t="s">
        <v>96</v>
      </c>
      <c r="P17">
        <v>90</v>
      </c>
      <c r="Q17">
        <v>0</v>
      </c>
      <c r="R17">
        <v>0</v>
      </c>
      <c r="S17">
        <v>0</v>
      </c>
      <c r="T17">
        <v>2</v>
      </c>
      <c r="U17">
        <v>0</v>
      </c>
      <c r="V17">
        <v>0</v>
      </c>
      <c r="W17">
        <v>0</v>
      </c>
      <c r="X17">
        <v>0</v>
      </c>
      <c r="Y17">
        <v>0</v>
      </c>
      <c r="Z17">
        <v>2</v>
      </c>
      <c r="AA17">
        <v>0</v>
      </c>
      <c r="AB17">
        <v>8</v>
      </c>
      <c r="AC17">
        <v>154</v>
      </c>
      <c r="AD17" s="3">
        <v>5</v>
      </c>
      <c r="AE17">
        <v>1</v>
      </c>
    </row>
    <row r="18" spans="1:31">
      <c r="B18">
        <f>SUM(C18:H18)</f>
        <v>0.9861534547738493</v>
      </c>
      <c r="C18">
        <f t="shared" ref="C18:H18" si="0">POISSON(C17,$B$13,FALSE)</f>
        <v>0.14660696213035052</v>
      </c>
      <c r="D18">
        <f t="shared" si="0"/>
        <v>0.28148536729027301</v>
      </c>
      <c r="E18">
        <f t="shared" si="0"/>
        <v>0.27022595259866217</v>
      </c>
      <c r="F18">
        <f t="shared" si="0"/>
        <v>0.17294460966314382</v>
      </c>
      <c r="G18">
        <f t="shared" si="0"/>
        <v>8.3013412638309039E-2</v>
      </c>
      <c r="H18">
        <f t="shared" si="0"/>
        <v>3.1877150453110681E-2</v>
      </c>
      <c r="M18" s="2">
        <v>41623.625</v>
      </c>
      <c r="N18">
        <v>17</v>
      </c>
      <c r="O18" t="s">
        <v>47</v>
      </c>
      <c r="P18">
        <v>90</v>
      </c>
      <c r="Q18">
        <v>0</v>
      </c>
      <c r="R18">
        <v>0</v>
      </c>
      <c r="S18">
        <v>0</v>
      </c>
      <c r="T18">
        <v>2</v>
      </c>
      <c r="U18">
        <v>0</v>
      </c>
      <c r="V18">
        <v>0</v>
      </c>
      <c r="W18">
        <v>0</v>
      </c>
      <c r="X18">
        <v>0</v>
      </c>
      <c r="Y18">
        <v>0</v>
      </c>
      <c r="Z18">
        <v>6</v>
      </c>
      <c r="AA18">
        <v>0</v>
      </c>
      <c r="AB18">
        <v>5</v>
      </c>
      <c r="AC18">
        <v>-1463</v>
      </c>
      <c r="AD18" s="3">
        <v>5</v>
      </c>
      <c r="AE18">
        <v>3</v>
      </c>
    </row>
    <row r="19" spans="1:31">
      <c r="C19" s="9" t="s">
        <v>0</v>
      </c>
      <c r="D19" s="9"/>
      <c r="E19" s="9"/>
      <c r="F19" s="9"/>
      <c r="G19" s="9"/>
      <c r="H19" s="9"/>
      <c r="M19" s="2">
        <v>41630.53125</v>
      </c>
      <c r="N19">
        <v>18</v>
      </c>
      <c r="O19" t="s">
        <v>59</v>
      </c>
      <c r="P19">
        <v>90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3</v>
      </c>
      <c r="AA19">
        <v>0</v>
      </c>
      <c r="AB19">
        <v>4</v>
      </c>
      <c r="AC19">
        <v>-1902</v>
      </c>
      <c r="AD19" s="3">
        <v>5</v>
      </c>
      <c r="AE19">
        <v>3</v>
      </c>
    </row>
    <row r="20" spans="1:31">
      <c r="C20">
        <v>0</v>
      </c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M20" s="2">
        <v>41634.625</v>
      </c>
      <c r="N20">
        <v>19</v>
      </c>
      <c r="O20" t="s">
        <v>43</v>
      </c>
      <c r="P20">
        <v>90</v>
      </c>
      <c r="Q20">
        <v>0</v>
      </c>
      <c r="R20">
        <v>0</v>
      </c>
      <c r="S20">
        <v>0</v>
      </c>
      <c r="T20">
        <v>2</v>
      </c>
      <c r="U20">
        <v>0</v>
      </c>
      <c r="V20">
        <v>0</v>
      </c>
      <c r="W20">
        <v>0</v>
      </c>
      <c r="X20">
        <v>0</v>
      </c>
      <c r="Y20">
        <v>0</v>
      </c>
      <c r="Z20">
        <v>1</v>
      </c>
      <c r="AA20">
        <v>0</v>
      </c>
      <c r="AB20">
        <v>4</v>
      </c>
      <c r="AC20">
        <v>-1040</v>
      </c>
      <c r="AD20" s="3">
        <v>5</v>
      </c>
      <c r="AE20">
        <v>1</v>
      </c>
    </row>
    <row r="21" spans="1:31">
      <c r="B21">
        <f>SUM(C21:L21)</f>
        <v>0.99048683982124608</v>
      </c>
      <c r="C21">
        <f>POISSON(C20,$B$14,FALSE)</f>
        <v>5.6134762834134329E-2</v>
      </c>
      <c r="D21">
        <f t="shared" ref="D21:J21" si="1">POISSON(D20,$B$14,FALSE)</f>
        <v>0.16166811696230687</v>
      </c>
      <c r="E21">
        <f t="shared" si="1"/>
        <v>0.23280208842572189</v>
      </c>
      <c r="F21">
        <f t="shared" si="1"/>
        <v>0.223490004888693</v>
      </c>
      <c r="G21">
        <f t="shared" si="1"/>
        <v>0.16091280351985895</v>
      </c>
      <c r="H21">
        <f t="shared" si="1"/>
        <v>9.2685774827438741E-2</v>
      </c>
      <c r="I21">
        <f t="shared" si="1"/>
        <v>4.4489171917170597E-2</v>
      </c>
      <c r="J21">
        <f t="shared" si="1"/>
        <v>1.8304116445921618E-2</v>
      </c>
      <c r="M21" s="2">
        <v>41637.625</v>
      </c>
      <c r="N21">
        <v>20</v>
      </c>
      <c r="O21" t="s">
        <v>97</v>
      </c>
      <c r="P21">
        <v>90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2</v>
      </c>
      <c r="AA21">
        <v>0</v>
      </c>
      <c r="AB21">
        <v>18</v>
      </c>
      <c r="AC21">
        <v>-1633</v>
      </c>
      <c r="AD21" s="3">
        <v>5</v>
      </c>
      <c r="AE21">
        <v>6</v>
      </c>
    </row>
    <row r="22" spans="1:31">
      <c r="A22" s="1"/>
      <c r="M22" s="2">
        <v>41275.625</v>
      </c>
      <c r="N22">
        <v>21</v>
      </c>
      <c r="O22" t="s">
        <v>98</v>
      </c>
      <c r="P22">
        <v>90</v>
      </c>
      <c r="Q22">
        <v>0</v>
      </c>
      <c r="R22">
        <v>0</v>
      </c>
      <c r="S22">
        <v>0</v>
      </c>
      <c r="T22">
        <v>4</v>
      </c>
      <c r="U22">
        <v>0</v>
      </c>
      <c r="V22">
        <v>0</v>
      </c>
      <c r="W22">
        <v>0</v>
      </c>
      <c r="X22">
        <v>0</v>
      </c>
      <c r="Y22">
        <v>0</v>
      </c>
      <c r="Z22">
        <v>3</v>
      </c>
      <c r="AA22">
        <v>0</v>
      </c>
      <c r="AB22">
        <v>6</v>
      </c>
      <c r="AC22">
        <v>-1005</v>
      </c>
      <c r="AD22" s="3">
        <v>5</v>
      </c>
      <c r="AE22">
        <v>1</v>
      </c>
    </row>
    <row r="23" spans="1:31">
      <c r="C23" s="9" t="s">
        <v>0</v>
      </c>
      <c r="D23" s="9"/>
      <c r="E23" s="9"/>
      <c r="F23" s="9"/>
      <c r="G23" s="9"/>
      <c r="H23" s="9"/>
      <c r="I23" s="9"/>
      <c r="J23" s="9"/>
      <c r="M23" s="2">
        <v>41286.625</v>
      </c>
      <c r="N23">
        <v>22</v>
      </c>
      <c r="O23" t="s">
        <v>99</v>
      </c>
      <c r="P23">
        <v>90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6</v>
      </c>
      <c r="AC23">
        <v>-5966</v>
      </c>
      <c r="AD23" s="3">
        <v>5</v>
      </c>
      <c r="AE23">
        <v>2</v>
      </c>
    </row>
    <row r="24" spans="1:31">
      <c r="C24">
        <v>0</v>
      </c>
      <c r="D24">
        <v>1</v>
      </c>
      <c r="E24">
        <v>2</v>
      </c>
      <c r="F24">
        <v>3</v>
      </c>
      <c r="G24">
        <v>4</v>
      </c>
      <c r="H24">
        <v>5</v>
      </c>
      <c r="I24">
        <v>6</v>
      </c>
      <c r="J24">
        <v>7</v>
      </c>
      <c r="M24" s="2">
        <v>41293.625</v>
      </c>
      <c r="N24">
        <v>23</v>
      </c>
      <c r="O24" t="s">
        <v>100</v>
      </c>
      <c r="P24">
        <v>90</v>
      </c>
      <c r="Q24">
        <v>0</v>
      </c>
      <c r="R24">
        <v>0</v>
      </c>
      <c r="S24">
        <v>0</v>
      </c>
      <c r="T24">
        <v>3</v>
      </c>
      <c r="U24">
        <v>0</v>
      </c>
      <c r="V24">
        <v>0</v>
      </c>
      <c r="W24">
        <v>0</v>
      </c>
      <c r="X24">
        <v>0</v>
      </c>
      <c r="Y24">
        <v>0</v>
      </c>
      <c r="Z24">
        <v>2</v>
      </c>
      <c r="AA24">
        <v>0</v>
      </c>
      <c r="AB24">
        <v>3</v>
      </c>
      <c r="AC24">
        <v>-3353</v>
      </c>
      <c r="AD24" s="3">
        <v>5</v>
      </c>
      <c r="AE24">
        <v>1</v>
      </c>
    </row>
    <row r="25" spans="1:31">
      <c r="A25" s="10" t="s">
        <v>1</v>
      </c>
      <c r="B25">
        <v>0</v>
      </c>
      <c r="C25">
        <f t="shared" ref="C25:J25" si="2">$C$18*C21</f>
        <v>8.2297470490201394E-3</v>
      </c>
      <c r="D25">
        <f t="shared" si="2"/>
        <v>2.3701671501178002E-2</v>
      </c>
      <c r="E25">
        <f t="shared" si="2"/>
        <v>3.4130406961696322E-2</v>
      </c>
      <c r="F25">
        <f t="shared" si="2"/>
        <v>3.2765190683228466E-2</v>
      </c>
      <c r="G25">
        <f t="shared" si="2"/>
        <v>2.3590937291924494E-2</v>
      </c>
      <c r="H25">
        <f t="shared" si="2"/>
        <v>1.3588379880148507E-2</v>
      </c>
      <c r="I25">
        <f t="shared" si="2"/>
        <v>6.522422342471283E-3</v>
      </c>
      <c r="J25">
        <f t="shared" si="2"/>
        <v>2.6835109066167566E-3</v>
      </c>
      <c r="K25">
        <f t="shared" ref="K25:K30" si="3">SUM(C25:J25)</f>
        <v>0.14521226661628395</v>
      </c>
      <c r="M25" s="2">
        <v>41303.822916666664</v>
      </c>
      <c r="N25">
        <v>24</v>
      </c>
      <c r="O25" t="s">
        <v>101</v>
      </c>
      <c r="P25">
        <v>90</v>
      </c>
      <c r="Q25">
        <v>0</v>
      </c>
      <c r="R25">
        <v>0</v>
      </c>
      <c r="S25">
        <v>0</v>
      </c>
      <c r="T25">
        <v>2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0</v>
      </c>
      <c r="AB25">
        <v>6</v>
      </c>
      <c r="AC25">
        <v>-4140</v>
      </c>
      <c r="AD25" s="3">
        <v>5</v>
      </c>
      <c r="AE25">
        <v>1</v>
      </c>
    </row>
    <row r="26" spans="1:31">
      <c r="A26" s="10"/>
      <c r="B26">
        <v>1</v>
      </c>
      <c r="C26">
        <f>D18*$C$21</f>
        <v>1.5801114334118668E-2</v>
      </c>
      <c r="D26">
        <f>D18*D21</f>
        <v>4.5507209282261769E-2</v>
      </c>
      <c r="E26">
        <f>E21*D18</f>
        <v>6.5530381366456947E-2</v>
      </c>
      <c r="F26">
        <f>$D$18*F21</f>
        <v>6.2909166111798656E-2</v>
      </c>
      <c r="G26">
        <f>$D$18*G21</f>
        <v>4.5294599600495034E-2</v>
      </c>
      <c r="H26">
        <f>$D$18*H21</f>
        <v>2.6089689369885136E-2</v>
      </c>
      <c r="I26">
        <f>$D$18*I21</f>
        <v>1.2523050897544866E-2</v>
      </c>
      <c r="J26">
        <f>$D$18*J21</f>
        <v>5.1523409407041735E-3</v>
      </c>
      <c r="K26">
        <f t="shared" si="3"/>
        <v>0.27880755190326523</v>
      </c>
      <c r="M26" s="2">
        <v>41307.625</v>
      </c>
      <c r="N26">
        <v>25</v>
      </c>
      <c r="O26" t="s">
        <v>102</v>
      </c>
      <c r="P26">
        <v>90</v>
      </c>
      <c r="Q26">
        <v>0</v>
      </c>
      <c r="R26">
        <v>0</v>
      </c>
      <c r="S26">
        <v>0</v>
      </c>
      <c r="T26">
        <v>2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6</v>
      </c>
      <c r="AC26">
        <v>-2324</v>
      </c>
      <c r="AD26" s="3">
        <v>5</v>
      </c>
      <c r="AE26">
        <v>1</v>
      </c>
    </row>
    <row r="27" spans="1:31">
      <c r="A27" s="10"/>
      <c r="B27">
        <v>2</v>
      </c>
      <c r="C27">
        <f>E18*$C$21</f>
        <v>1.5169069760753925E-2</v>
      </c>
      <c r="D27">
        <f>E18*D21</f>
        <v>4.3686920910971309E-2</v>
      </c>
      <c r="E27">
        <f>E18*E21</f>
        <v>6.2909166111798684E-2</v>
      </c>
      <c r="F27">
        <f>$E$18*F21</f>
        <v>6.039279946732673E-2</v>
      </c>
      <c r="G27">
        <f>$E$18*G21</f>
        <v>4.3482815616475247E-2</v>
      </c>
      <c r="H27">
        <f>$E$18*H21</f>
        <v>2.5046101795089735E-2</v>
      </c>
      <c r="I27">
        <f>$E$18*I21</f>
        <v>1.2022128861643075E-2</v>
      </c>
      <c r="J27">
        <f>$E$18*J21</f>
        <v>4.9462473030760078E-3</v>
      </c>
      <c r="K27">
        <f t="shared" si="3"/>
        <v>0.26765524982713473</v>
      </c>
      <c r="M27" s="2">
        <v>41314.625</v>
      </c>
      <c r="N27">
        <v>26</v>
      </c>
      <c r="O27" t="s">
        <v>103</v>
      </c>
      <c r="P27">
        <v>90</v>
      </c>
      <c r="Q27">
        <v>0</v>
      </c>
      <c r="R27">
        <v>0</v>
      </c>
      <c r="S27">
        <v>0</v>
      </c>
      <c r="T27">
        <v>4</v>
      </c>
      <c r="U27">
        <v>0</v>
      </c>
      <c r="V27">
        <v>0</v>
      </c>
      <c r="W27">
        <v>0</v>
      </c>
      <c r="X27">
        <v>0</v>
      </c>
      <c r="Y27">
        <v>0</v>
      </c>
      <c r="Z27">
        <v>8</v>
      </c>
      <c r="AA27">
        <v>0</v>
      </c>
      <c r="AB27">
        <v>7</v>
      </c>
      <c r="AC27">
        <v>-2177</v>
      </c>
      <c r="AD27" s="3">
        <v>5</v>
      </c>
      <c r="AE27">
        <v>2</v>
      </c>
    </row>
    <row r="28" spans="1:31">
      <c r="A28" s="10"/>
      <c r="B28">
        <v>3</v>
      </c>
      <c r="C28">
        <f t="shared" ref="C28:J28" si="4">$F$18*C21</f>
        <v>9.7082046468825144E-3</v>
      </c>
      <c r="D28">
        <f t="shared" si="4"/>
        <v>2.7959629383021642E-2</v>
      </c>
      <c r="E28">
        <f t="shared" si="4"/>
        <v>4.0261866311551167E-2</v>
      </c>
      <c r="F28">
        <f t="shared" si="4"/>
        <v>3.8651391659089117E-2</v>
      </c>
      <c r="G28">
        <f t="shared" si="4"/>
        <v>2.7829001994544161E-2</v>
      </c>
      <c r="H28">
        <f t="shared" si="4"/>
        <v>1.6029505148857433E-2</v>
      </c>
      <c r="I28">
        <f t="shared" si="4"/>
        <v>7.6941624714515688E-3</v>
      </c>
      <c r="J28">
        <f t="shared" si="4"/>
        <v>3.1655982739686454E-3</v>
      </c>
      <c r="K28">
        <f t="shared" si="3"/>
        <v>0.17129935988936626</v>
      </c>
      <c r="M28" s="2">
        <v>41328.625</v>
      </c>
      <c r="N28">
        <v>27</v>
      </c>
      <c r="O28" t="s">
        <v>104</v>
      </c>
      <c r="P28">
        <v>90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15</v>
      </c>
      <c r="AC28">
        <v>-1316</v>
      </c>
      <c r="AD28" s="3">
        <v>5</v>
      </c>
      <c r="AE28">
        <v>6</v>
      </c>
    </row>
    <row r="29" spans="1:31">
      <c r="A29" s="10"/>
      <c r="B29">
        <v>4</v>
      </c>
      <c r="C29">
        <f t="shared" ref="C29:J29" si="5">$G$18*C21</f>
        <v>4.6599382305036073E-3</v>
      </c>
      <c r="D29">
        <f t="shared" si="5"/>
        <v>1.342062210385039E-2</v>
      </c>
      <c r="E29">
        <f t="shared" si="5"/>
        <v>1.9325695829544562E-2</v>
      </c>
      <c r="F29">
        <f t="shared" si="5"/>
        <v>1.8552667996362775E-2</v>
      </c>
      <c r="G29">
        <f t="shared" si="5"/>
        <v>1.3357920957381199E-2</v>
      </c>
      <c r="H29">
        <f t="shared" si="5"/>
        <v>7.6941624714515688E-3</v>
      </c>
      <c r="I29">
        <f t="shared" si="5"/>
        <v>3.6931979862967531E-3</v>
      </c>
      <c r="J29">
        <f t="shared" si="5"/>
        <v>1.5194871715049499E-3</v>
      </c>
      <c r="K29">
        <f t="shared" si="3"/>
        <v>8.2223692746895796E-2</v>
      </c>
      <c r="M29" s="2">
        <v>41335.729166666664</v>
      </c>
      <c r="N29">
        <v>28</v>
      </c>
      <c r="O29" t="s">
        <v>105</v>
      </c>
      <c r="P29">
        <v>90</v>
      </c>
      <c r="Q29">
        <v>0</v>
      </c>
      <c r="R29">
        <v>0</v>
      </c>
      <c r="S29">
        <v>0</v>
      </c>
      <c r="T29">
        <v>4</v>
      </c>
      <c r="U29">
        <v>0</v>
      </c>
      <c r="V29">
        <v>0</v>
      </c>
      <c r="W29">
        <v>0</v>
      </c>
      <c r="X29">
        <v>0</v>
      </c>
      <c r="Y29">
        <v>0</v>
      </c>
      <c r="Z29">
        <v>1</v>
      </c>
      <c r="AA29">
        <v>0</v>
      </c>
      <c r="AB29">
        <v>2</v>
      </c>
      <c r="AC29">
        <v>-582</v>
      </c>
      <c r="AD29" s="3">
        <v>5</v>
      </c>
      <c r="AE29">
        <v>0</v>
      </c>
    </row>
    <row r="30" spans="1:31">
      <c r="A30" s="10"/>
      <c r="B30">
        <v>5</v>
      </c>
      <c r="C30">
        <f t="shared" ref="C30:J30" si="6">$H$18*C21</f>
        <v>1.7894162805133858E-3</v>
      </c>
      <c r="D30">
        <f t="shared" si="6"/>
        <v>5.1535188878785512E-3</v>
      </c>
      <c r="E30">
        <f t="shared" si="6"/>
        <v>7.4210671985451135E-3</v>
      </c>
      <c r="F30">
        <f t="shared" si="6"/>
        <v>7.1242245106033081E-3</v>
      </c>
      <c r="G30">
        <f t="shared" si="6"/>
        <v>5.1294416476343821E-3</v>
      </c>
      <c r="H30">
        <f t="shared" si="6"/>
        <v>2.9545583890374033E-3</v>
      </c>
      <c r="I30">
        <f t="shared" si="6"/>
        <v>1.4181880267379538E-3</v>
      </c>
      <c r="J30">
        <f t="shared" si="6"/>
        <v>5.8348307385790101E-4</v>
      </c>
      <c r="K30">
        <f t="shared" si="3"/>
        <v>3.1573898014807998E-2</v>
      </c>
      <c r="M30" s="2">
        <v>41350.666666666664</v>
      </c>
      <c r="N30">
        <v>30</v>
      </c>
      <c r="O30" t="s">
        <v>106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-96</v>
      </c>
      <c r="AD30" s="3">
        <v>5</v>
      </c>
      <c r="AE30">
        <v>0</v>
      </c>
    </row>
    <row r="31" spans="1:31">
      <c r="K31">
        <f>SUM(K25:K30)</f>
        <v>0.97677201899775401</v>
      </c>
      <c r="M31" s="2">
        <v>41363.625</v>
      </c>
      <c r="N31">
        <v>31</v>
      </c>
      <c r="O31" t="s">
        <v>107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150</v>
      </c>
      <c r="AD31" s="3">
        <v>4.9000000000000004</v>
      </c>
      <c r="AE31">
        <v>0</v>
      </c>
    </row>
    <row r="32" spans="1:31">
      <c r="A32" t="s">
        <v>17</v>
      </c>
      <c r="B32">
        <f>SUM(D25:J25,E26:J26,F27:J27,G28:J28,H29:J29,I30:J30)</f>
        <v>0.5699986275164306</v>
      </c>
      <c r="M32" s="2"/>
      <c r="AD32" s="3"/>
    </row>
    <row r="33" spans="1:30">
      <c r="A33" t="s">
        <v>18</v>
      </c>
      <c r="B33">
        <f>SUM(C25:J25)</f>
        <v>0.14521226661628395</v>
      </c>
      <c r="V33">
        <v>0</v>
      </c>
      <c r="X33">
        <v>0</v>
      </c>
      <c r="Y33">
        <v>0</v>
      </c>
      <c r="Z33">
        <f>(SUM(Z2:Z6)/COUNT(Z2:Z6))</f>
        <v>3.6</v>
      </c>
      <c r="AA33">
        <f>(SUM(AA2:AA6)/COUNT(AA2:AA6))</f>
        <v>0.4</v>
      </c>
    </row>
    <row r="34" spans="1:30">
      <c r="A34" t="s">
        <v>19</v>
      </c>
      <c r="B34">
        <f>SUM(C26:C30,D27:D30,E28:E30,F29:F30,G29)</f>
        <v>0.24339187734248208</v>
      </c>
      <c r="H34">
        <f>C18*4</f>
        <v>0.58642784852140206</v>
      </c>
      <c r="I34">
        <f>(C18*4)+(SUM(E18:F18)*-1)+(SUM(G18:H18)*-2)</f>
        <v>-8.6523839923243334E-2</v>
      </c>
      <c r="U34">
        <f>CORREL(T2:T32, Z2:Z32)</f>
        <v>0.14652413961158087</v>
      </c>
      <c r="Z34">
        <f>Z33*0.333333333</f>
        <v>1.1999999988000001</v>
      </c>
    </row>
    <row r="35" spans="1:30">
      <c r="A35" t="s">
        <v>20</v>
      </c>
      <c r="B35">
        <f>SUM(C25:C30)</f>
        <v>5.5357490301792232E-2</v>
      </c>
      <c r="I35">
        <f>(SUM(E18:F18))</f>
        <v>0.44317056226180596</v>
      </c>
      <c r="J35">
        <f>I35*-1</f>
        <v>-0.44317056226180596</v>
      </c>
    </row>
    <row r="36" spans="1:30">
      <c r="A36" t="s">
        <v>23</v>
      </c>
      <c r="B36">
        <f>SUM(C25,D26,E27,F28,G29,H30)</f>
        <v>0.17160999344858832</v>
      </c>
      <c r="I36">
        <f>SUM(G18:H18)</f>
        <v>0.11489056309141972</v>
      </c>
      <c r="J36">
        <f>I36*-2</f>
        <v>-0.22978112618283944</v>
      </c>
      <c r="K36">
        <f>J36+J35+H34</f>
        <v>-8.6523839923243306E-2</v>
      </c>
      <c r="R36" s="4">
        <v>8.2297470490201394E-3</v>
      </c>
      <c r="S36" s="4">
        <v>2.3701671501178002E-2</v>
      </c>
      <c r="T36" s="4">
        <v>3.4130406961696322E-2</v>
      </c>
      <c r="U36" s="4">
        <v>3.2765190683228466E-2</v>
      </c>
      <c r="V36" s="4">
        <v>2.3590937291924494E-2</v>
      </c>
      <c r="W36" s="4">
        <v>1.3588379880148507E-2</v>
      </c>
      <c r="X36" s="4"/>
      <c r="Y36" s="4"/>
      <c r="Z36">
        <f>SUM(R36:Y36)</f>
        <v>0.13600633336719592</v>
      </c>
      <c r="AA36" s="4">
        <v>4</v>
      </c>
      <c r="AB36">
        <f>Z36*AA36</f>
        <v>0.54402533346878368</v>
      </c>
    </row>
    <row r="37" spans="1:30">
      <c r="A37" t="s">
        <v>21</v>
      </c>
      <c r="B37" t="s">
        <v>22</v>
      </c>
      <c r="R37">
        <v>1.5801114334118668E-2</v>
      </c>
      <c r="S37">
        <v>4.5507209282261769E-2</v>
      </c>
      <c r="T37">
        <v>6.5530381366456947E-2</v>
      </c>
      <c r="U37">
        <v>6.2909166111798656E-2</v>
      </c>
      <c r="V37">
        <v>4.5294599600495034E-2</v>
      </c>
      <c r="W37">
        <v>2.6089689369885136E-2</v>
      </c>
      <c r="Z37">
        <f>SUM(R37:Y37)</f>
        <v>0.26113216006501622</v>
      </c>
      <c r="AA37">
        <v>0</v>
      </c>
    </row>
    <row r="38" spans="1:30">
      <c r="R38" s="5">
        <v>1.5169069760753925E-2</v>
      </c>
      <c r="S38" s="5">
        <v>4.3686920910971309E-2</v>
      </c>
      <c r="T38" s="5">
        <v>6.2909166111798684E-2</v>
      </c>
      <c r="U38" s="5">
        <v>6.039279946732673E-2</v>
      </c>
      <c r="V38" s="5">
        <v>4.3482815616475247E-2</v>
      </c>
      <c r="W38" s="5">
        <v>2.5046101795089735E-2</v>
      </c>
      <c r="X38" s="5"/>
      <c r="Y38" s="5"/>
    </row>
    <row r="39" spans="1:30">
      <c r="R39" s="5">
        <v>9.7082046468825144E-3</v>
      </c>
      <c r="S39" s="5">
        <v>2.7959629383021642E-2</v>
      </c>
      <c r="T39" s="5">
        <v>4.0261866311551167E-2</v>
      </c>
      <c r="U39" s="5">
        <v>3.8651391659089117E-2</v>
      </c>
      <c r="V39" s="5">
        <v>2.7829001994544161E-2</v>
      </c>
      <c r="W39" s="5">
        <v>1.6029505148857433E-2</v>
      </c>
      <c r="X39" s="5"/>
      <c r="Y39" s="5"/>
      <c r="Z39">
        <f>SUM(R38:Y38)+SUM(R39:Y39)</f>
        <v>0.41112647280636172</v>
      </c>
      <c r="AA39" s="5">
        <v>-1</v>
      </c>
      <c r="AB39">
        <f>Z39*AA39</f>
        <v>-0.41112647280636172</v>
      </c>
    </row>
    <row r="40" spans="1:30">
      <c r="R40" s="6">
        <v>4.6599382305036073E-3</v>
      </c>
      <c r="S40" s="6">
        <v>1.342062210385039E-2</v>
      </c>
      <c r="T40" s="6">
        <v>1.9325695829544562E-2</v>
      </c>
      <c r="U40" s="6">
        <v>1.8552667996362775E-2</v>
      </c>
      <c r="V40" s="6">
        <v>1.3357920957381199E-2</v>
      </c>
      <c r="W40" s="6">
        <v>7.6941624714515688E-3</v>
      </c>
      <c r="X40" s="6"/>
      <c r="Y40" s="6"/>
    </row>
    <row r="41" spans="1:30">
      <c r="R41" s="6">
        <v>1.7894162805133858E-3</v>
      </c>
      <c r="S41" s="6">
        <v>5.1535188878785512E-3</v>
      </c>
      <c r="T41" s="6">
        <v>7.4210671985451135E-3</v>
      </c>
      <c r="U41" s="6">
        <v>7.1242245106033081E-3</v>
      </c>
      <c r="V41" s="6">
        <v>5.1294416476343821E-3</v>
      </c>
      <c r="W41" s="6">
        <v>2.9545583890374033E-3</v>
      </c>
      <c r="X41" s="6"/>
      <c r="Y41" s="6"/>
      <c r="Z41">
        <f>SUM(R40:Y40)+SUM(R41:Y41)</f>
        <v>0.10658323450330624</v>
      </c>
      <c r="AA41" s="6">
        <v>-2</v>
      </c>
      <c r="AB41">
        <f>Z41*AA41</f>
        <v>-0.21316646900661249</v>
      </c>
    </row>
    <row r="42" spans="1:30">
      <c r="R42">
        <f>SUM(R36:R41)</f>
        <v>5.5357490301792232E-2</v>
      </c>
      <c r="U42">
        <f>SUM(T36:U41)</f>
        <v>0.44997402420800187</v>
      </c>
      <c r="W42">
        <f>SUM(V36:W41)</f>
        <v>0.25008711416292428</v>
      </c>
      <c r="X42">
        <f>SUM(R42:W42)</f>
        <v>0.75541862867271836</v>
      </c>
      <c r="Z42">
        <f>SUM(Z36:Z41)</f>
        <v>0.91484820074188011</v>
      </c>
      <c r="AB42">
        <f>SUM(AB36:AB41)</f>
        <v>-8.0267608344190527E-2</v>
      </c>
    </row>
    <row r="43" spans="1:30">
      <c r="R43">
        <f>R42*4</f>
        <v>0.22142996120716893</v>
      </c>
      <c r="U43">
        <f>U42*-1</f>
        <v>-0.44997402420800187</v>
      </c>
      <c r="W43">
        <f>W42*-1</f>
        <v>-0.25008711416292428</v>
      </c>
      <c r="X43">
        <f>SUM(R43:W43)</f>
        <v>-0.47863117716375725</v>
      </c>
      <c r="AC43" t="s">
        <v>81</v>
      </c>
      <c r="AD43">
        <f>K36+Z34+AA33</f>
        <v>1.5134761588767569</v>
      </c>
    </row>
    <row r="44" spans="1:30">
      <c r="U44">
        <f>SUM(R43:U43)</f>
        <v>-0.22854406300083294</v>
      </c>
      <c r="W44">
        <f>SUM(R43:W43)</f>
        <v>-0.47863117716375725</v>
      </c>
    </row>
    <row r="45" spans="1:30">
      <c r="T45">
        <f>SUM(T36:T41)</f>
        <v>0.22957858377959281</v>
      </c>
      <c r="V45">
        <f>SUM(V36:V41)</f>
        <v>0.1586847171084545</v>
      </c>
    </row>
    <row r="46" spans="1:30">
      <c r="T46">
        <f>T45*-1</f>
        <v>-0.22957858377959281</v>
      </c>
      <c r="V46">
        <f>V45*-1</f>
        <v>-0.1586847171084545</v>
      </c>
    </row>
    <row r="47" spans="1:30">
      <c r="T47">
        <f>T46+R43</f>
        <v>-8.1486225724238803E-3</v>
      </c>
      <c r="V47">
        <f>V46+U43+R43</f>
        <v>-0.38722878010928741</v>
      </c>
    </row>
  </sheetData>
  <mergeCells count="4">
    <mergeCell ref="C16:H16"/>
    <mergeCell ref="C19:H19"/>
    <mergeCell ref="C23:J23"/>
    <mergeCell ref="A25:A3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7"/>
  <sheetViews>
    <sheetView workbookViewId="0">
      <selection activeCell="B3" sqref="B3"/>
    </sheetView>
  </sheetViews>
  <sheetFormatPr defaultRowHeight="15"/>
  <cols>
    <col min="1" max="1" width="26.28515625" bestFit="1" customWidth="1"/>
    <col min="2" max="3" width="9.140625" customWidth="1"/>
  </cols>
  <sheetData>
    <row r="1" spans="1:8">
      <c r="A1" t="s">
        <v>2</v>
      </c>
      <c r="B1">
        <v>9</v>
      </c>
    </row>
    <row r="2" spans="1:8">
      <c r="A2" t="s">
        <v>3</v>
      </c>
      <c r="B2">
        <v>9</v>
      </c>
    </row>
    <row r="3" spans="1:8">
      <c r="A3" t="s">
        <v>4</v>
      </c>
      <c r="B3">
        <v>3</v>
      </c>
    </row>
    <row r="4" spans="1:8">
      <c r="A4" t="s">
        <v>5</v>
      </c>
      <c r="B4">
        <v>1.5</v>
      </c>
    </row>
    <row r="5" spans="1:8">
      <c r="A5" t="s">
        <v>10</v>
      </c>
      <c r="B5">
        <f>9/4</f>
        <v>2.25</v>
      </c>
    </row>
    <row r="6" spans="1:8">
      <c r="A6" t="s">
        <v>11</v>
      </c>
      <c r="B6">
        <f>9/4</f>
        <v>2.25</v>
      </c>
    </row>
    <row r="7" spans="1:8">
      <c r="A7" t="s">
        <v>24</v>
      </c>
      <c r="B7">
        <f>1/B5</f>
        <v>0.44444444444444442</v>
      </c>
    </row>
    <row r="8" spans="1:8">
      <c r="A8" t="s">
        <v>25</v>
      </c>
      <c r="B8">
        <f>3/B5</f>
        <v>1.3333333333333333</v>
      </c>
    </row>
    <row r="9" spans="1:8">
      <c r="A9" t="s">
        <v>26</v>
      </c>
      <c r="B9">
        <f>3/B5</f>
        <v>1.3333333333333333</v>
      </c>
    </row>
    <row r="10" spans="1:8">
      <c r="A10" t="s">
        <v>27</v>
      </c>
      <c r="B10">
        <f>2/B5</f>
        <v>0.88888888888888884</v>
      </c>
    </row>
    <row r="12" spans="1:8">
      <c r="A12" t="s">
        <v>28</v>
      </c>
    </row>
    <row r="13" spans="1:8">
      <c r="A13" t="s">
        <v>29</v>
      </c>
      <c r="B13">
        <f>B3*B7*B10</f>
        <v>1.1851851851851851</v>
      </c>
    </row>
    <row r="14" spans="1:8">
      <c r="A14" t="s">
        <v>14</v>
      </c>
      <c r="B14">
        <f>B4*B8*B9</f>
        <v>2.6666666666666665</v>
      </c>
    </row>
    <row r="16" spans="1:8">
      <c r="A16" t="s">
        <v>15</v>
      </c>
      <c r="C16" s="9" t="s">
        <v>30</v>
      </c>
      <c r="D16" s="9"/>
      <c r="E16" s="9"/>
      <c r="F16" s="9"/>
      <c r="G16" s="9"/>
      <c r="H16" s="9"/>
    </row>
    <row r="17" spans="1:11">
      <c r="A17" s="1"/>
      <c r="B17" t="s">
        <v>16</v>
      </c>
      <c r="C17">
        <v>0</v>
      </c>
      <c r="D17">
        <v>1</v>
      </c>
      <c r="E17">
        <v>2</v>
      </c>
      <c r="F17">
        <v>3</v>
      </c>
      <c r="G17">
        <v>4</v>
      </c>
      <c r="H17">
        <v>5</v>
      </c>
    </row>
    <row r="18" spans="1:11">
      <c r="B18">
        <f>SUM(C18:H18)</f>
        <v>0.99859015351092373</v>
      </c>
      <c r="C18">
        <f t="shared" ref="C18:H18" si="0">POISSON(C17,$B$13,FALSE)</f>
        <v>0.30568956507808448</v>
      </c>
      <c r="D18">
        <f t="shared" si="0"/>
        <v>0.36229874379624827</v>
      </c>
      <c r="E18">
        <f t="shared" si="0"/>
        <v>0.21469555187925821</v>
      </c>
      <c r="F18">
        <f t="shared" si="0"/>
        <v>8.4817995804151378E-2</v>
      </c>
      <c r="G18">
        <f t="shared" si="0"/>
        <v>2.5131258016044853E-2</v>
      </c>
      <c r="H18">
        <f t="shared" si="0"/>
        <v>5.9570389371365572E-3</v>
      </c>
    </row>
    <row r="19" spans="1:11">
      <c r="C19" s="9" t="s">
        <v>0</v>
      </c>
      <c r="D19" s="9"/>
      <c r="E19" s="9"/>
      <c r="F19" s="9"/>
      <c r="G19" s="9"/>
      <c r="H19" s="9"/>
    </row>
    <row r="20" spans="1:11">
      <c r="C20">
        <v>0</v>
      </c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</row>
    <row r="21" spans="1:11">
      <c r="B21">
        <f>SUM(C21:L21)</f>
        <v>0.99383156464410027</v>
      </c>
      <c r="C21">
        <f t="shared" ref="C21:J21" si="1">POISSON(C20,$B$14,FALSE)</f>
        <v>6.9483451222802847E-2</v>
      </c>
      <c r="D21">
        <f t="shared" si="1"/>
        <v>0.18528920326080758</v>
      </c>
      <c r="E21">
        <f t="shared" si="1"/>
        <v>0.2470522710144101</v>
      </c>
      <c r="F21">
        <f t="shared" si="1"/>
        <v>0.21960201867947562</v>
      </c>
      <c r="G21">
        <f t="shared" si="1"/>
        <v>0.14640134578631708</v>
      </c>
      <c r="H21">
        <f t="shared" si="1"/>
        <v>7.808071775270245E-2</v>
      </c>
      <c r="I21">
        <f t="shared" si="1"/>
        <v>3.4702541223423304E-2</v>
      </c>
      <c r="J21">
        <f t="shared" si="1"/>
        <v>1.3220015704161259E-2</v>
      </c>
    </row>
    <row r="22" spans="1:11">
      <c r="A22" s="1"/>
    </row>
    <row r="23" spans="1:11">
      <c r="C23" s="9" t="s">
        <v>0</v>
      </c>
      <c r="D23" s="9"/>
      <c r="E23" s="9"/>
      <c r="F23" s="9"/>
      <c r="G23" s="9"/>
      <c r="H23" s="9"/>
      <c r="I23" s="9"/>
      <c r="J23" s="9"/>
    </row>
    <row r="24" spans="1:11">
      <c r="C24">
        <v>0</v>
      </c>
      <c r="D24">
        <v>1</v>
      </c>
      <c r="E24">
        <v>2</v>
      </c>
      <c r="F24">
        <v>3</v>
      </c>
      <c r="G24">
        <v>4</v>
      </c>
      <c r="H24">
        <v>5</v>
      </c>
      <c r="I24">
        <v>6</v>
      </c>
      <c r="J24">
        <v>7</v>
      </c>
    </row>
    <row r="25" spans="1:11">
      <c r="A25" s="10" t="s">
        <v>30</v>
      </c>
      <c r="B25">
        <v>0</v>
      </c>
      <c r="C25">
        <f t="shared" ref="C25:J25" si="2">$C$18*C21</f>
        <v>2.1240365984422898E-2</v>
      </c>
      <c r="D25">
        <f t="shared" si="2"/>
        <v>5.6640975958461064E-2</v>
      </c>
      <c r="E25">
        <f t="shared" si="2"/>
        <v>7.552130127794808E-2</v>
      </c>
      <c r="F25">
        <f t="shared" si="2"/>
        <v>6.7130045580398284E-2</v>
      </c>
      <c r="G25">
        <f t="shared" si="2"/>
        <v>4.4753363720265525E-2</v>
      </c>
      <c r="H25">
        <f t="shared" si="2"/>
        <v>2.3868460650808283E-2</v>
      </c>
      <c r="I25">
        <f t="shared" si="2"/>
        <v>1.0608204733692568E-2</v>
      </c>
      <c r="J25">
        <f t="shared" si="2"/>
        <v>4.0412208509305022E-3</v>
      </c>
      <c r="K25">
        <f t="shared" ref="K25:K30" si="3">SUM(C25:J25)</f>
        <v>0.30380393875692718</v>
      </c>
    </row>
    <row r="26" spans="1:11">
      <c r="A26" s="10"/>
      <c r="B26">
        <v>1</v>
      </c>
      <c r="C26">
        <f>D18*$C$21</f>
        <v>2.5173767092649364E-2</v>
      </c>
      <c r="D26">
        <f>D18*D21</f>
        <v>6.7130045580398298E-2</v>
      </c>
      <c r="E26">
        <f>E21*D18</f>
        <v>8.9506727440531064E-2</v>
      </c>
      <c r="F26">
        <f>$D$18*F21</f>
        <v>7.9561535502694264E-2</v>
      </c>
      <c r="G26">
        <f>$D$18*G21</f>
        <v>5.3041023668462847E-2</v>
      </c>
      <c r="H26">
        <f>$D$18*H21</f>
        <v>2.8288545956513519E-2</v>
      </c>
      <c r="I26">
        <f>$D$18*I21</f>
        <v>1.2572687091783783E-2</v>
      </c>
      <c r="J26">
        <f>$D$18*J21</f>
        <v>4.7895950825842986E-3</v>
      </c>
      <c r="K26">
        <f t="shared" si="3"/>
        <v>0.36006392741561744</v>
      </c>
    </row>
    <row r="27" spans="1:11">
      <c r="A27" s="10"/>
      <c r="B27">
        <v>2</v>
      </c>
      <c r="C27">
        <f>E18*$C$21</f>
        <v>1.4917787906755176E-2</v>
      </c>
      <c r="D27">
        <f>E18*D21</f>
        <v>3.9780767751347132E-2</v>
      </c>
      <c r="E27">
        <f>E18*E21</f>
        <v>5.304102366846284E-2</v>
      </c>
      <c r="F27">
        <f>$E$18*F21</f>
        <v>4.7147576594189188E-2</v>
      </c>
      <c r="G27">
        <f>$E$18*G21</f>
        <v>3.1431717729459456E-2</v>
      </c>
      <c r="H27">
        <f>$E$18*H21</f>
        <v>1.6763582789045047E-2</v>
      </c>
      <c r="I27">
        <f>$E$18*I21</f>
        <v>7.4504812395755748E-3</v>
      </c>
      <c r="J27">
        <f>$E$18*J21</f>
        <v>2.8382785674573616E-3</v>
      </c>
      <c r="K27">
        <f t="shared" si="3"/>
        <v>0.21337121624629177</v>
      </c>
    </row>
    <row r="28" spans="1:11">
      <c r="A28" s="10"/>
      <c r="B28">
        <v>3</v>
      </c>
      <c r="C28">
        <f t="shared" ref="C28:J28" si="4">$F$18*C21</f>
        <v>5.8934470742736484E-3</v>
      </c>
      <c r="D28">
        <f t="shared" si="4"/>
        <v>1.5715858864729728E-2</v>
      </c>
      <c r="E28">
        <f t="shared" si="4"/>
        <v>2.0954478486306306E-2</v>
      </c>
      <c r="F28">
        <f t="shared" si="4"/>
        <v>1.8626203098938934E-2</v>
      </c>
      <c r="G28">
        <f t="shared" si="4"/>
        <v>1.2417468732625957E-2</v>
      </c>
      <c r="H28">
        <f t="shared" si="4"/>
        <v>6.6226499907338443E-3</v>
      </c>
      <c r="I28">
        <f t="shared" si="4"/>
        <v>2.943399995881708E-3</v>
      </c>
      <c r="J28">
        <f t="shared" si="4"/>
        <v>1.1212952365263649E-3</v>
      </c>
      <c r="K28">
        <f t="shared" si="3"/>
        <v>8.4294801480016501E-2</v>
      </c>
    </row>
    <row r="29" spans="1:11">
      <c r="A29" s="10"/>
      <c r="B29">
        <v>4</v>
      </c>
      <c r="C29">
        <f t="shared" ref="C29:J29" si="5">$G$18*C21</f>
        <v>1.7462065405255255E-3</v>
      </c>
      <c r="D29">
        <f t="shared" si="5"/>
        <v>4.6565507747347345E-3</v>
      </c>
      <c r="E29">
        <f t="shared" si="5"/>
        <v>6.2087343663129796E-3</v>
      </c>
      <c r="F29">
        <f t="shared" si="5"/>
        <v>5.5188749922782032E-3</v>
      </c>
      <c r="G29">
        <f t="shared" si="5"/>
        <v>3.6792499948521355E-3</v>
      </c>
      <c r="H29">
        <f t="shared" si="5"/>
        <v>1.9622666639211393E-3</v>
      </c>
      <c r="I29">
        <f t="shared" si="5"/>
        <v>8.7211851729828392E-4</v>
      </c>
      <c r="J29">
        <f t="shared" si="5"/>
        <v>3.3223562563744149E-4</v>
      </c>
      <c r="K29">
        <f t="shared" si="3"/>
        <v>2.497623747556044E-2</v>
      </c>
    </row>
    <row r="30" spans="1:11">
      <c r="A30" s="10"/>
      <c r="B30">
        <v>5</v>
      </c>
      <c r="C30">
        <f t="shared" ref="C30:J30" si="6">$H$18*C21</f>
        <v>4.1391562442086527E-4</v>
      </c>
      <c r="D30">
        <f t="shared" si="6"/>
        <v>1.1037749984556407E-3</v>
      </c>
      <c r="E30">
        <f t="shared" si="6"/>
        <v>1.4716999979408542E-3</v>
      </c>
      <c r="F30">
        <f t="shared" si="6"/>
        <v>1.3081777759474259E-3</v>
      </c>
      <c r="G30">
        <f t="shared" si="6"/>
        <v>8.7211851729828392E-4</v>
      </c>
      <c r="H30">
        <f t="shared" si="6"/>
        <v>4.6512987589241811E-4</v>
      </c>
      <c r="I30">
        <f t="shared" si="6"/>
        <v>2.0672438928551911E-4</v>
      </c>
      <c r="J30">
        <f t="shared" si="6"/>
        <v>7.8752148299245382E-5</v>
      </c>
      <c r="K30">
        <f t="shared" si="3"/>
        <v>5.9202933275402528E-3</v>
      </c>
    </row>
    <row r="31" spans="1:11">
      <c r="K31">
        <f>SUM(K25:K30)</f>
        <v>0.99243041470195348</v>
      </c>
    </row>
    <row r="32" spans="1:11">
      <c r="A32" t="s">
        <v>17</v>
      </c>
      <c r="B32">
        <f>SUM(D25:J25,E26:J26,F27:J27,G28:J28,H29:J29,I30:J30)</f>
        <v>0.68251223573501008</v>
      </c>
    </row>
    <row r="33" spans="1:2">
      <c r="A33" t="s">
        <v>18</v>
      </c>
      <c r="B33">
        <f>SUM(C25:J25)</f>
        <v>0.30380393875692718</v>
      </c>
    </row>
    <row r="34" spans="1:2">
      <c r="A34" t="s">
        <v>31</v>
      </c>
      <c r="B34">
        <f>SUM(C26:C30,D27:D30,E28:E30,F29:F30,G29)</f>
        <v>0.14854329224152973</v>
      </c>
    </row>
    <row r="35" spans="1:2">
      <c r="A35" t="s">
        <v>32</v>
      </c>
      <c r="B35">
        <f>SUM(C25:C30)</f>
        <v>6.9385490223047477E-2</v>
      </c>
    </row>
    <row r="36" spans="1:2">
      <c r="A36" t="s">
        <v>23</v>
      </c>
      <c r="B36">
        <f>SUM(C25,D26,E27,F28,G29,H30)</f>
        <v>0.16418201820296752</v>
      </c>
    </row>
    <row r="37" spans="1:2">
      <c r="A37" t="s">
        <v>21</v>
      </c>
      <c r="B37" t="s">
        <v>33</v>
      </c>
    </row>
  </sheetData>
  <mergeCells count="4">
    <mergeCell ref="C16:H16"/>
    <mergeCell ref="C19:H19"/>
    <mergeCell ref="C23:J23"/>
    <mergeCell ref="A25:A3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7"/>
  <sheetViews>
    <sheetView workbookViewId="0">
      <selection activeCell="E15" sqref="E15"/>
    </sheetView>
  </sheetViews>
  <sheetFormatPr defaultRowHeight="15"/>
  <cols>
    <col min="1" max="1" width="26.28515625" bestFit="1" customWidth="1"/>
    <col min="2" max="3" width="9.140625" customWidth="1"/>
  </cols>
  <sheetData>
    <row r="1" spans="1:8">
      <c r="A1" t="s">
        <v>2</v>
      </c>
      <c r="B1">
        <v>5</v>
      </c>
    </row>
    <row r="2" spans="1:8">
      <c r="A2" t="s">
        <v>3</v>
      </c>
      <c r="B2">
        <v>5</v>
      </c>
    </row>
    <row r="3" spans="1:8">
      <c r="A3" t="s">
        <v>4</v>
      </c>
      <c r="B3">
        <v>3</v>
      </c>
    </row>
    <row r="4" spans="1:8">
      <c r="A4" t="s">
        <v>5</v>
      </c>
      <c r="B4">
        <v>2</v>
      </c>
    </row>
    <row r="5" spans="1:8">
      <c r="A5" t="s">
        <v>10</v>
      </c>
      <c r="B5">
        <v>2.5</v>
      </c>
    </row>
    <row r="6" spans="1:8">
      <c r="A6" t="s">
        <v>11</v>
      </c>
      <c r="B6">
        <v>2.5</v>
      </c>
    </row>
    <row r="7" spans="1:8">
      <c r="A7" t="s">
        <v>6</v>
      </c>
      <c r="B7">
        <f>3/B5</f>
        <v>1.2</v>
      </c>
    </row>
    <row r="8" spans="1:8">
      <c r="A8" t="s">
        <v>7</v>
      </c>
      <c r="B8">
        <f>2/B5</f>
        <v>0.8</v>
      </c>
    </row>
    <row r="9" spans="1:8">
      <c r="A9" t="s">
        <v>8</v>
      </c>
      <c r="B9">
        <f>2/B5</f>
        <v>0.8</v>
      </c>
    </row>
    <row r="10" spans="1:8">
      <c r="A10" t="s">
        <v>9</v>
      </c>
      <c r="B10">
        <f>3/B5</f>
        <v>1.2</v>
      </c>
    </row>
    <row r="12" spans="1:8">
      <c r="A12" t="s">
        <v>12</v>
      </c>
    </row>
    <row r="13" spans="1:8">
      <c r="A13" t="s">
        <v>13</v>
      </c>
      <c r="B13">
        <f>B3*B8*B9</f>
        <v>1.9200000000000004</v>
      </c>
    </row>
    <row r="14" spans="1:8">
      <c r="A14" t="s">
        <v>14</v>
      </c>
      <c r="B14">
        <f>B4*B7*B10</f>
        <v>2.88</v>
      </c>
    </row>
    <row r="16" spans="1:8">
      <c r="A16" t="s">
        <v>15</v>
      </c>
      <c r="C16" s="9" t="s">
        <v>1</v>
      </c>
      <c r="D16" s="9"/>
      <c r="E16" s="9"/>
      <c r="F16" s="9"/>
      <c r="G16" s="9"/>
      <c r="H16" s="9"/>
    </row>
    <row r="17" spans="1:11">
      <c r="A17" s="1"/>
      <c r="B17" t="s">
        <v>16</v>
      </c>
      <c r="C17">
        <v>0</v>
      </c>
      <c r="D17">
        <v>1</v>
      </c>
      <c r="E17">
        <v>2</v>
      </c>
      <c r="F17">
        <v>3</v>
      </c>
      <c r="G17">
        <v>4</v>
      </c>
      <c r="H17">
        <v>5</v>
      </c>
    </row>
    <row r="18" spans="1:11">
      <c r="B18">
        <f>SUM(C18:H18)</f>
        <v>0.9861534547738493</v>
      </c>
      <c r="C18">
        <f t="shared" ref="C18:H18" si="0">POISSON(C17,$B$13,FALSE)</f>
        <v>0.14660696213035052</v>
      </c>
      <c r="D18">
        <f t="shared" si="0"/>
        <v>0.28148536729027301</v>
      </c>
      <c r="E18">
        <f t="shared" si="0"/>
        <v>0.27022595259866217</v>
      </c>
      <c r="F18">
        <f t="shared" si="0"/>
        <v>0.17294460966314382</v>
      </c>
      <c r="G18">
        <f t="shared" si="0"/>
        <v>8.3013412638309039E-2</v>
      </c>
      <c r="H18">
        <f t="shared" si="0"/>
        <v>3.1877150453110681E-2</v>
      </c>
    </row>
    <row r="19" spans="1:11">
      <c r="C19" s="9" t="s">
        <v>0</v>
      </c>
      <c r="D19" s="9"/>
      <c r="E19" s="9"/>
      <c r="F19" s="9"/>
      <c r="G19" s="9"/>
      <c r="H19" s="9"/>
    </row>
    <row r="20" spans="1:11">
      <c r="C20">
        <v>0</v>
      </c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</row>
    <row r="21" spans="1:11">
      <c r="B21">
        <f>SUM(C21:L21)</f>
        <v>0.99048683982124608</v>
      </c>
      <c r="C21">
        <f>POISSON(C20,$B$14,FALSE)</f>
        <v>5.6134762834134329E-2</v>
      </c>
      <c r="D21">
        <f t="shared" ref="D21:J21" si="1">POISSON(D20,$B$14,FALSE)</f>
        <v>0.16166811696230687</v>
      </c>
      <c r="E21">
        <f t="shared" si="1"/>
        <v>0.23280208842572189</v>
      </c>
      <c r="F21">
        <f t="shared" si="1"/>
        <v>0.223490004888693</v>
      </c>
      <c r="G21">
        <f t="shared" si="1"/>
        <v>0.16091280351985895</v>
      </c>
      <c r="H21">
        <f t="shared" si="1"/>
        <v>9.2685774827438741E-2</v>
      </c>
      <c r="I21">
        <f t="shared" si="1"/>
        <v>4.4489171917170597E-2</v>
      </c>
      <c r="J21">
        <f t="shared" si="1"/>
        <v>1.8304116445921618E-2</v>
      </c>
    </row>
    <row r="22" spans="1:11">
      <c r="A22" s="1"/>
    </row>
    <row r="23" spans="1:11">
      <c r="C23" s="9" t="s">
        <v>0</v>
      </c>
      <c r="D23" s="9"/>
      <c r="E23" s="9"/>
      <c r="F23" s="9"/>
      <c r="G23" s="9"/>
      <c r="H23" s="9"/>
      <c r="I23" s="9"/>
      <c r="J23" s="9"/>
    </row>
    <row r="24" spans="1:11">
      <c r="C24">
        <v>0</v>
      </c>
      <c r="D24">
        <v>1</v>
      </c>
      <c r="E24">
        <v>2</v>
      </c>
      <c r="F24">
        <v>3</v>
      </c>
      <c r="G24">
        <v>4</v>
      </c>
      <c r="H24">
        <v>5</v>
      </c>
      <c r="I24">
        <v>6</v>
      </c>
      <c r="J24">
        <v>7</v>
      </c>
    </row>
    <row r="25" spans="1:11">
      <c r="A25" s="10" t="s">
        <v>1</v>
      </c>
      <c r="B25">
        <v>0</v>
      </c>
      <c r="C25">
        <f t="shared" ref="C25:J25" si="2">$C$18*C21</f>
        <v>8.2297470490201394E-3</v>
      </c>
      <c r="D25">
        <f t="shared" si="2"/>
        <v>2.3701671501178002E-2</v>
      </c>
      <c r="E25">
        <f t="shared" si="2"/>
        <v>3.4130406961696322E-2</v>
      </c>
      <c r="F25">
        <f t="shared" si="2"/>
        <v>3.2765190683228466E-2</v>
      </c>
      <c r="G25">
        <f t="shared" si="2"/>
        <v>2.3590937291924494E-2</v>
      </c>
      <c r="H25">
        <f t="shared" si="2"/>
        <v>1.3588379880148507E-2</v>
      </c>
      <c r="I25">
        <f t="shared" si="2"/>
        <v>6.522422342471283E-3</v>
      </c>
      <c r="J25">
        <f t="shared" si="2"/>
        <v>2.6835109066167566E-3</v>
      </c>
      <c r="K25">
        <f t="shared" ref="K25:K30" si="3">SUM(C25:J25)</f>
        <v>0.14521226661628395</v>
      </c>
    </row>
    <row r="26" spans="1:11">
      <c r="A26" s="10"/>
      <c r="B26">
        <v>1</v>
      </c>
      <c r="C26">
        <f>D18*$C$21</f>
        <v>1.5801114334118668E-2</v>
      </c>
      <c r="D26">
        <f>D18*D21</f>
        <v>4.5507209282261769E-2</v>
      </c>
      <c r="E26">
        <f>E21*D18</f>
        <v>6.5530381366456947E-2</v>
      </c>
      <c r="F26">
        <f>$D$18*F21</f>
        <v>6.2909166111798656E-2</v>
      </c>
      <c r="G26">
        <f>$D$18*G21</f>
        <v>4.5294599600495034E-2</v>
      </c>
      <c r="H26">
        <f>$D$18*H21</f>
        <v>2.6089689369885136E-2</v>
      </c>
      <c r="I26">
        <f>$D$18*I21</f>
        <v>1.2523050897544866E-2</v>
      </c>
      <c r="J26">
        <f>$D$18*J21</f>
        <v>5.1523409407041735E-3</v>
      </c>
      <c r="K26">
        <f t="shared" si="3"/>
        <v>0.27880755190326523</v>
      </c>
    </row>
    <row r="27" spans="1:11">
      <c r="A27" s="10"/>
      <c r="B27">
        <v>2</v>
      </c>
      <c r="C27">
        <f>E18*$C$21</f>
        <v>1.5169069760753925E-2</v>
      </c>
      <c r="D27">
        <f>E18*D21</f>
        <v>4.3686920910971309E-2</v>
      </c>
      <c r="E27">
        <f>E18*E21</f>
        <v>6.2909166111798684E-2</v>
      </c>
      <c r="F27">
        <f>$E$18*F21</f>
        <v>6.039279946732673E-2</v>
      </c>
      <c r="G27">
        <f>$E$18*G21</f>
        <v>4.3482815616475247E-2</v>
      </c>
      <c r="H27">
        <f>$E$18*H21</f>
        <v>2.5046101795089735E-2</v>
      </c>
      <c r="I27">
        <f>$E$18*I21</f>
        <v>1.2022128861643075E-2</v>
      </c>
      <c r="J27">
        <f>$E$18*J21</f>
        <v>4.9462473030760078E-3</v>
      </c>
      <c r="K27">
        <f t="shared" si="3"/>
        <v>0.26765524982713473</v>
      </c>
    </row>
    <row r="28" spans="1:11">
      <c r="A28" s="10"/>
      <c r="B28">
        <v>3</v>
      </c>
      <c r="C28">
        <f t="shared" ref="C28:J28" si="4">$F$18*C21</f>
        <v>9.7082046468825144E-3</v>
      </c>
      <c r="D28">
        <f t="shared" si="4"/>
        <v>2.7959629383021642E-2</v>
      </c>
      <c r="E28">
        <f t="shared" si="4"/>
        <v>4.0261866311551167E-2</v>
      </c>
      <c r="F28">
        <f t="shared" si="4"/>
        <v>3.8651391659089117E-2</v>
      </c>
      <c r="G28">
        <f t="shared" si="4"/>
        <v>2.7829001994544161E-2</v>
      </c>
      <c r="H28">
        <f t="shared" si="4"/>
        <v>1.6029505148857433E-2</v>
      </c>
      <c r="I28">
        <f t="shared" si="4"/>
        <v>7.6941624714515688E-3</v>
      </c>
      <c r="J28">
        <f t="shared" si="4"/>
        <v>3.1655982739686454E-3</v>
      </c>
      <c r="K28">
        <f t="shared" si="3"/>
        <v>0.17129935988936626</v>
      </c>
    </row>
    <row r="29" spans="1:11">
      <c r="A29" s="10"/>
      <c r="B29">
        <v>4</v>
      </c>
      <c r="C29">
        <f t="shared" ref="C29:J29" si="5">$G$18*C21</f>
        <v>4.6599382305036073E-3</v>
      </c>
      <c r="D29">
        <f t="shared" si="5"/>
        <v>1.342062210385039E-2</v>
      </c>
      <c r="E29">
        <f t="shared" si="5"/>
        <v>1.9325695829544562E-2</v>
      </c>
      <c r="F29">
        <f t="shared" si="5"/>
        <v>1.8552667996362775E-2</v>
      </c>
      <c r="G29">
        <f t="shared" si="5"/>
        <v>1.3357920957381199E-2</v>
      </c>
      <c r="H29">
        <f t="shared" si="5"/>
        <v>7.6941624714515688E-3</v>
      </c>
      <c r="I29">
        <f t="shared" si="5"/>
        <v>3.6931979862967531E-3</v>
      </c>
      <c r="J29">
        <f t="shared" si="5"/>
        <v>1.5194871715049499E-3</v>
      </c>
      <c r="K29">
        <f t="shared" si="3"/>
        <v>8.2223692746895796E-2</v>
      </c>
    </row>
    <row r="30" spans="1:11">
      <c r="A30" s="10"/>
      <c r="B30">
        <v>5</v>
      </c>
      <c r="C30">
        <f t="shared" ref="C30:J30" si="6">$H$18*C21</f>
        <v>1.7894162805133858E-3</v>
      </c>
      <c r="D30">
        <f t="shared" si="6"/>
        <v>5.1535188878785512E-3</v>
      </c>
      <c r="E30">
        <f t="shared" si="6"/>
        <v>7.4210671985451135E-3</v>
      </c>
      <c r="F30">
        <f t="shared" si="6"/>
        <v>7.1242245106033081E-3</v>
      </c>
      <c r="G30">
        <f t="shared" si="6"/>
        <v>5.1294416476343821E-3</v>
      </c>
      <c r="H30">
        <f t="shared" si="6"/>
        <v>2.9545583890374033E-3</v>
      </c>
      <c r="I30">
        <f t="shared" si="6"/>
        <v>1.4181880267379538E-3</v>
      </c>
      <c r="J30">
        <f t="shared" si="6"/>
        <v>5.8348307385790101E-4</v>
      </c>
      <c r="K30">
        <f t="shared" si="3"/>
        <v>3.1573898014807998E-2</v>
      </c>
    </row>
    <row r="31" spans="1:11">
      <c r="K31">
        <f>SUM(K25:K30)</f>
        <v>0.97677201899775401</v>
      </c>
    </row>
    <row r="32" spans="1:11">
      <c r="A32" t="s">
        <v>17</v>
      </c>
      <c r="B32">
        <f>SUM(D25:J25,E26:J26,F27:J27,G28:J28,H29:J29,I30:J30)</f>
        <v>0.5699986275164306</v>
      </c>
    </row>
    <row r="33" spans="1:2">
      <c r="A33" t="s">
        <v>18</v>
      </c>
      <c r="B33">
        <f>SUM(C25:J25)</f>
        <v>0.14521226661628395</v>
      </c>
    </row>
    <row r="34" spans="1:2">
      <c r="A34" t="s">
        <v>19</v>
      </c>
      <c r="B34">
        <f>SUM(C26:C30,D27:D30,E28:E30,F29:F30,G29)</f>
        <v>0.24339187734248208</v>
      </c>
    </row>
    <row r="35" spans="1:2">
      <c r="A35" t="s">
        <v>20</v>
      </c>
      <c r="B35">
        <f>SUM(C25:C30)</f>
        <v>5.5357490301792232E-2</v>
      </c>
    </row>
    <row r="36" spans="1:2">
      <c r="A36" t="s">
        <v>23</v>
      </c>
      <c r="B36">
        <f>SUM(C25,D26,E27,F28,G29,H30)</f>
        <v>0.17160999344858832</v>
      </c>
    </row>
    <row r="37" spans="1:2">
      <c r="A37" t="s">
        <v>21</v>
      </c>
      <c r="B37" t="s">
        <v>22</v>
      </c>
    </row>
  </sheetData>
  <mergeCells count="4">
    <mergeCell ref="C16:H16"/>
    <mergeCell ref="C19:H19"/>
    <mergeCell ref="A25:A30"/>
    <mergeCell ref="C23:J2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Y24"/>
  <sheetViews>
    <sheetView topLeftCell="R1" workbookViewId="0">
      <selection activeCell="X14" sqref="X14"/>
    </sheetView>
  </sheetViews>
  <sheetFormatPr defaultRowHeight="15"/>
  <cols>
    <col min="1" max="1" width="11.140625" bestFit="1" customWidth="1"/>
    <col min="2" max="2" width="10.5703125" bestFit="1" customWidth="1"/>
    <col min="3" max="3" width="16.85546875" bestFit="1" customWidth="1"/>
    <col min="4" max="4" width="11.85546875" bestFit="1" customWidth="1"/>
    <col min="5" max="6" width="11.85546875" customWidth="1"/>
    <col min="7" max="7" width="11.7109375" bestFit="1" customWidth="1"/>
    <col min="8" max="9" width="11.7109375" customWidth="1"/>
    <col min="10" max="10" width="28.140625" bestFit="1" customWidth="1"/>
    <col min="11" max="11" width="13.140625" bestFit="1" customWidth="1"/>
    <col min="12" max="12" width="23.42578125" bestFit="1" customWidth="1"/>
    <col min="13" max="13" width="24.7109375" bestFit="1" customWidth="1"/>
    <col min="14" max="14" width="13.140625" bestFit="1" customWidth="1"/>
    <col min="15" max="15" width="14.28515625" bestFit="1" customWidth="1"/>
    <col min="16" max="16" width="19.42578125" bestFit="1" customWidth="1"/>
    <col min="17" max="17" width="27.5703125" bestFit="1" customWidth="1"/>
    <col min="18" max="18" width="13.140625" bestFit="1" customWidth="1"/>
    <col min="19" max="19" width="22.85546875" bestFit="1" customWidth="1"/>
    <col min="20" max="20" width="24" bestFit="1" customWidth="1"/>
    <col min="21" max="21" width="13.140625" bestFit="1" customWidth="1"/>
    <col min="22" max="22" width="25.140625" bestFit="1" customWidth="1"/>
    <col min="23" max="23" width="19.42578125" bestFit="1" customWidth="1"/>
    <col min="24" max="24" width="20.140625" bestFit="1" customWidth="1"/>
    <col min="25" max="25" width="19.5703125" bestFit="1" customWidth="1"/>
  </cols>
  <sheetData>
    <row r="1" spans="1:25">
      <c r="A1" t="s">
        <v>112</v>
      </c>
      <c r="B1" t="s">
        <v>113</v>
      </c>
      <c r="C1" t="s">
        <v>114</v>
      </c>
      <c r="D1" t="s">
        <v>124</v>
      </c>
      <c r="E1" t="s">
        <v>125</v>
      </c>
      <c r="F1" t="s">
        <v>126</v>
      </c>
      <c r="G1" t="s">
        <v>127</v>
      </c>
      <c r="H1" t="s">
        <v>130</v>
      </c>
      <c r="I1" t="s">
        <v>131</v>
      </c>
      <c r="J1" t="s">
        <v>116</v>
      </c>
    </row>
    <row r="2" spans="1:25">
      <c r="A2">
        <v>10</v>
      </c>
      <c r="B2">
        <v>5</v>
      </c>
      <c r="C2">
        <v>3</v>
      </c>
      <c r="D2">
        <v>6</v>
      </c>
      <c r="F2">
        <v>3</v>
      </c>
      <c r="G2">
        <v>6</v>
      </c>
      <c r="I2">
        <v>2</v>
      </c>
      <c r="J2">
        <f>A2/C2</f>
        <v>3.3333333333333335</v>
      </c>
    </row>
    <row r="3" spans="1:25">
      <c r="J3" t="s">
        <v>120</v>
      </c>
      <c r="K3" t="s">
        <v>117</v>
      </c>
      <c r="L3" t="s">
        <v>118</v>
      </c>
    </row>
    <row r="4" spans="1:25">
      <c r="A4">
        <v>10</v>
      </c>
      <c r="B4">
        <v>5</v>
      </c>
      <c r="C4">
        <v>3</v>
      </c>
      <c r="D4">
        <v>6</v>
      </c>
      <c r="F4">
        <v>3</v>
      </c>
      <c r="G4">
        <v>6</v>
      </c>
      <c r="I4">
        <v>2</v>
      </c>
      <c r="J4">
        <f>D4/F4</f>
        <v>2</v>
      </c>
      <c r="K4">
        <f>SUM(A4:B4)/(C4*2)</f>
        <v>2.5</v>
      </c>
      <c r="L4">
        <f>J4/K4</f>
        <v>0.8</v>
      </c>
    </row>
    <row r="5" spans="1:25">
      <c r="A5">
        <v>4</v>
      </c>
      <c r="B5">
        <v>3</v>
      </c>
      <c r="C5">
        <v>2</v>
      </c>
      <c r="D5">
        <v>4</v>
      </c>
      <c r="F5">
        <v>2</v>
      </c>
      <c r="G5">
        <v>3</v>
      </c>
      <c r="I5">
        <v>2</v>
      </c>
      <c r="J5">
        <f>D5/F5</f>
        <v>2</v>
      </c>
      <c r="K5">
        <f>SUM(A5:B5)/(C5*2)</f>
        <v>1.75</v>
      </c>
      <c r="L5">
        <f>J5/K5</f>
        <v>1.1428571428571428</v>
      </c>
    </row>
    <row r="6" spans="1:25">
      <c r="J6" t="s">
        <v>119</v>
      </c>
      <c r="K6" t="s">
        <v>117</v>
      </c>
      <c r="L6" t="s">
        <v>121</v>
      </c>
      <c r="M6" t="s">
        <v>120</v>
      </c>
      <c r="N6" t="s">
        <v>117</v>
      </c>
      <c r="O6" t="s">
        <v>118</v>
      </c>
      <c r="P6" t="s">
        <v>116</v>
      </c>
    </row>
    <row r="7" spans="1:25">
      <c r="A7">
        <v>4</v>
      </c>
      <c r="B7">
        <v>3</v>
      </c>
      <c r="C7">
        <v>2</v>
      </c>
      <c r="D7">
        <v>4</v>
      </c>
      <c r="E7">
        <v>3</v>
      </c>
      <c r="F7">
        <v>2</v>
      </c>
      <c r="G7">
        <v>3</v>
      </c>
      <c r="H7">
        <v>4</v>
      </c>
      <c r="I7">
        <v>2</v>
      </c>
      <c r="J7">
        <f>H7/I7</f>
        <v>2</v>
      </c>
      <c r="K7">
        <f>SUM(A7:B7)/(C7*2)</f>
        <v>1.75</v>
      </c>
      <c r="L7">
        <f>J7/K7</f>
        <v>1.1428571428571428</v>
      </c>
      <c r="M7">
        <f>D7/F7</f>
        <v>2</v>
      </c>
      <c r="N7">
        <f>SUM(A7:B7)/(C7*2)</f>
        <v>1.75</v>
      </c>
      <c r="O7">
        <f>J7/K7</f>
        <v>1.1428571428571428</v>
      </c>
      <c r="P7">
        <f>A7/C7</f>
        <v>2</v>
      </c>
    </row>
    <row r="8" spans="1:25">
      <c r="J8" t="s">
        <v>129</v>
      </c>
      <c r="K8" t="s">
        <v>117</v>
      </c>
      <c r="L8" t="s">
        <v>132</v>
      </c>
      <c r="M8" t="s">
        <v>133</v>
      </c>
      <c r="N8" t="s">
        <v>117</v>
      </c>
      <c r="O8" t="s">
        <v>118</v>
      </c>
      <c r="P8" t="s">
        <v>115</v>
      </c>
      <c r="Q8" t="s">
        <v>134</v>
      </c>
      <c r="R8" t="s">
        <v>117</v>
      </c>
      <c r="S8" t="s">
        <v>135</v>
      </c>
      <c r="T8" t="s">
        <v>136</v>
      </c>
      <c r="U8" t="s">
        <v>117</v>
      </c>
      <c r="V8" t="s">
        <v>137</v>
      </c>
      <c r="W8" t="s">
        <v>116</v>
      </c>
      <c r="X8" t="s">
        <v>122</v>
      </c>
      <c r="Y8" t="s">
        <v>123</v>
      </c>
    </row>
    <row r="9" spans="1:25">
      <c r="A9">
        <v>4</v>
      </c>
      <c r="B9">
        <v>3</v>
      </c>
      <c r="C9">
        <v>2</v>
      </c>
      <c r="D9">
        <v>3</v>
      </c>
      <c r="E9">
        <v>4</v>
      </c>
      <c r="F9">
        <v>2</v>
      </c>
      <c r="G9">
        <v>4</v>
      </c>
      <c r="H9">
        <v>3</v>
      </c>
      <c r="I9">
        <v>2</v>
      </c>
      <c r="J9">
        <f>E9/F9</f>
        <v>2</v>
      </c>
      <c r="K9">
        <f>SUM($A9:$B9)/($C9*2)</f>
        <v>1.75</v>
      </c>
      <c r="L9">
        <f>J9/K9</f>
        <v>1.1428571428571428</v>
      </c>
      <c r="M9">
        <f>G9/I9</f>
        <v>2</v>
      </c>
      <c r="N9">
        <f>SUM(A9:B9)/(C9*2)</f>
        <v>1.75</v>
      </c>
      <c r="O9">
        <f>M9/N9</f>
        <v>1.1428571428571428</v>
      </c>
      <c r="P9">
        <f>B9/C9</f>
        <v>1.5</v>
      </c>
      <c r="Q9">
        <f>H9/I9</f>
        <v>1.5</v>
      </c>
      <c r="R9">
        <f>SUM($A9:$B9)/($C9*2)</f>
        <v>1.75</v>
      </c>
      <c r="S9">
        <f>Q9/R9</f>
        <v>0.8571428571428571</v>
      </c>
      <c r="T9">
        <f>D9/F9</f>
        <v>1.5</v>
      </c>
      <c r="U9">
        <f>SUM($A9:$B9)/($C9*2)</f>
        <v>1.75</v>
      </c>
      <c r="V9">
        <f>T9/U9</f>
        <v>0.8571428571428571</v>
      </c>
      <c r="W9">
        <f>A9/C9</f>
        <v>2</v>
      </c>
      <c r="X9">
        <f>W9*V9*S9</f>
        <v>1.4693877551020407</v>
      </c>
      <c r="Y9">
        <f>P9*O9*L9</f>
        <v>1.9591836734693875</v>
      </c>
    </row>
    <row r="10" spans="1:25">
      <c r="A10">
        <v>1</v>
      </c>
      <c r="B10">
        <v>0</v>
      </c>
      <c r="C10">
        <v>1</v>
      </c>
      <c r="D10">
        <v>0</v>
      </c>
      <c r="E10">
        <v>1</v>
      </c>
      <c r="F10">
        <v>1</v>
      </c>
      <c r="G10">
        <v>1</v>
      </c>
      <c r="H10">
        <v>0</v>
      </c>
      <c r="I10">
        <v>1</v>
      </c>
      <c r="J10">
        <f>E10/F10</f>
        <v>1</v>
      </c>
      <c r="K10">
        <f>SUM(A10:B10)/(C10*2)</f>
        <v>0.5</v>
      </c>
      <c r="L10">
        <f>J10/K10</f>
        <v>2</v>
      </c>
      <c r="M10">
        <f>G10/I10</f>
        <v>1</v>
      </c>
      <c r="N10">
        <f>SUM(A10:B10)/(C10*2)</f>
        <v>0.5</v>
      </c>
      <c r="O10">
        <f>M10/N10</f>
        <v>2</v>
      </c>
      <c r="P10">
        <f>B10/C10</f>
        <v>0</v>
      </c>
      <c r="Q10">
        <f t="shared" ref="Q10:Q12" si="0">H10/I10</f>
        <v>0</v>
      </c>
      <c r="R10">
        <f t="shared" ref="R10:R13" si="1">SUM($A10:$B10)/($C10*2)</f>
        <v>0.5</v>
      </c>
      <c r="S10">
        <f t="shared" ref="S10:S12" si="2">Q10/R10</f>
        <v>0</v>
      </c>
      <c r="T10">
        <f t="shared" ref="T10:T12" si="3">D10/F10</f>
        <v>0</v>
      </c>
      <c r="U10">
        <f t="shared" ref="U10:U13" si="4">SUM($A10:$B10)/($C10*2)</f>
        <v>0.5</v>
      </c>
      <c r="V10">
        <f t="shared" ref="V10:V12" si="5">T10/U10</f>
        <v>0</v>
      </c>
      <c r="W10">
        <f t="shared" ref="W10:W12" si="6">A10/C10</f>
        <v>1</v>
      </c>
      <c r="X10">
        <f t="shared" ref="X10:X12" si="7">W10*V10*S10</f>
        <v>0</v>
      </c>
      <c r="Y10">
        <f>P10*O10*L10</f>
        <v>0</v>
      </c>
    </row>
    <row r="11" spans="1:2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f>E11/F11</f>
        <v>1</v>
      </c>
      <c r="K11">
        <f>SUM(A11:B11)/(C11*2)</f>
        <v>1</v>
      </c>
      <c r="L11">
        <f>J11/K11</f>
        <v>1</v>
      </c>
      <c r="M11">
        <f>G11/I11</f>
        <v>1</v>
      </c>
      <c r="N11">
        <f>SUM(A11:B11)/(C11*2)</f>
        <v>1</v>
      </c>
      <c r="O11">
        <f>M11/N11</f>
        <v>1</v>
      </c>
      <c r="P11">
        <f>B11/C11</f>
        <v>1</v>
      </c>
      <c r="Q11">
        <f t="shared" si="0"/>
        <v>1</v>
      </c>
      <c r="R11">
        <f t="shared" si="1"/>
        <v>1</v>
      </c>
      <c r="S11">
        <f t="shared" si="2"/>
        <v>1</v>
      </c>
      <c r="T11">
        <f t="shared" si="3"/>
        <v>1</v>
      </c>
      <c r="U11">
        <f t="shared" si="4"/>
        <v>1</v>
      </c>
      <c r="V11">
        <f t="shared" si="5"/>
        <v>1</v>
      </c>
      <c r="W11">
        <f t="shared" si="6"/>
        <v>1</v>
      </c>
      <c r="X11">
        <f t="shared" si="7"/>
        <v>1</v>
      </c>
      <c r="Y11">
        <f>P11*O11*L11</f>
        <v>1</v>
      </c>
    </row>
    <row r="12" spans="1:25">
      <c r="A12">
        <v>3</v>
      </c>
      <c r="B12">
        <v>2</v>
      </c>
      <c r="C12">
        <v>1</v>
      </c>
      <c r="D12">
        <v>2</v>
      </c>
      <c r="E12">
        <v>3</v>
      </c>
      <c r="F12">
        <v>1</v>
      </c>
      <c r="G12">
        <v>3</v>
      </c>
      <c r="H12">
        <v>2</v>
      </c>
      <c r="I12">
        <v>1</v>
      </c>
      <c r="J12">
        <f>E12/F12</f>
        <v>3</v>
      </c>
      <c r="K12">
        <f>SUM(A12:B12)/(C12*2)</f>
        <v>2.5</v>
      </c>
      <c r="L12">
        <f>J12/K12</f>
        <v>1.2</v>
      </c>
      <c r="M12">
        <f>G12/I12</f>
        <v>3</v>
      </c>
      <c r="N12">
        <f>SUM(A12:B12)/(C12*2)</f>
        <v>2.5</v>
      </c>
      <c r="O12">
        <f>M12/N12</f>
        <v>1.2</v>
      </c>
      <c r="P12">
        <f>B12/C12</f>
        <v>2</v>
      </c>
      <c r="Q12">
        <f t="shared" si="0"/>
        <v>2</v>
      </c>
      <c r="R12">
        <f t="shared" si="1"/>
        <v>2.5</v>
      </c>
      <c r="S12">
        <f t="shared" si="2"/>
        <v>0.8</v>
      </c>
      <c r="T12">
        <f t="shared" si="3"/>
        <v>2</v>
      </c>
      <c r="U12">
        <f t="shared" si="4"/>
        <v>2.5</v>
      </c>
      <c r="V12">
        <f t="shared" si="5"/>
        <v>0.8</v>
      </c>
      <c r="W12">
        <f t="shared" si="6"/>
        <v>3</v>
      </c>
      <c r="X12">
        <f t="shared" si="7"/>
        <v>1.9200000000000004</v>
      </c>
      <c r="Y12">
        <f>P12*O12*L12</f>
        <v>2.88</v>
      </c>
    </row>
    <row r="13" spans="1:25">
      <c r="A13">
        <v>8</v>
      </c>
      <c r="B13">
        <v>6</v>
      </c>
      <c r="C13">
        <v>4</v>
      </c>
      <c r="D13">
        <v>4</v>
      </c>
      <c r="E13">
        <v>4</v>
      </c>
      <c r="F13">
        <v>2</v>
      </c>
      <c r="G13">
        <v>7</v>
      </c>
      <c r="H13">
        <v>3</v>
      </c>
      <c r="I13">
        <v>3</v>
      </c>
      <c r="J13">
        <f>E13/F13</f>
        <v>2</v>
      </c>
      <c r="K13">
        <f>SUM(A13:B13)/(C13*2)</f>
        <v>1.75</v>
      </c>
      <c r="L13">
        <f>J13/K13</f>
        <v>1.1428571428571428</v>
      </c>
      <c r="M13">
        <f>G13/I13</f>
        <v>2.3333333333333335</v>
      </c>
      <c r="N13">
        <f>SUM(A13:B13)/(C13*2)</f>
        <v>1.75</v>
      </c>
      <c r="O13">
        <f>M13/N13</f>
        <v>1.3333333333333335</v>
      </c>
      <c r="P13">
        <f>B13/C13</f>
        <v>1.5</v>
      </c>
      <c r="Q13">
        <f t="shared" ref="Q13" si="8">H13/I13</f>
        <v>1</v>
      </c>
      <c r="R13">
        <f t="shared" si="1"/>
        <v>1.75</v>
      </c>
      <c r="S13">
        <f t="shared" ref="S13" si="9">Q13/R13</f>
        <v>0.5714285714285714</v>
      </c>
      <c r="T13">
        <f t="shared" ref="T13" si="10">D13/F13</f>
        <v>2</v>
      </c>
      <c r="U13">
        <f t="shared" si="4"/>
        <v>1.75</v>
      </c>
      <c r="V13">
        <f t="shared" ref="V13" si="11">T13/U13</f>
        <v>1.1428571428571428</v>
      </c>
      <c r="W13">
        <f t="shared" ref="W13" si="12">A13/C13</f>
        <v>2</v>
      </c>
      <c r="X13">
        <f t="shared" ref="X13" si="13">W13*V13*S13</f>
        <v>1.3061224489795917</v>
      </c>
      <c r="Y13">
        <f>P13*O13*L13</f>
        <v>2.2857142857142856</v>
      </c>
    </row>
    <row r="14" spans="1:25">
      <c r="A14">
        <v>8</v>
      </c>
      <c r="B14">
        <v>6</v>
      </c>
      <c r="C14">
        <v>4</v>
      </c>
      <c r="D14">
        <v>4</v>
      </c>
      <c r="E14">
        <v>4</v>
      </c>
      <c r="F14">
        <v>2</v>
      </c>
      <c r="G14">
        <v>7</v>
      </c>
      <c r="H14">
        <v>3</v>
      </c>
      <c r="I14">
        <v>3</v>
      </c>
      <c r="X14">
        <f>(A14/C14)*((D14/F14)/(SUM($A14:$B14)/($C14*2)))*((H14/I14)/(SUM($A14:$B14)/($C14*2)))</f>
        <v>1.3061224489795917</v>
      </c>
      <c r="Y14">
        <f>(B14/C14)*((G14/I14)/(SUM(A14:B14)/(C14*2)))*((E14/F14)/(SUM(A14:B14)/(C14*2)))</f>
        <v>2.2857142857142856</v>
      </c>
    </row>
    <row r="16" spans="1:25">
      <c r="A16" s="7"/>
      <c r="B16" s="7"/>
    </row>
    <row r="17" spans="1:2">
      <c r="A17" s="7"/>
    </row>
    <row r="18" spans="1:2">
      <c r="A18" s="7"/>
      <c r="B18" s="7"/>
    </row>
    <row r="19" spans="1:2">
      <c r="A19" s="7"/>
      <c r="B19" s="7"/>
    </row>
    <row r="20" spans="1:2">
      <c r="A20" s="7"/>
      <c r="B20" s="7"/>
    </row>
    <row r="21" spans="1:2">
      <c r="A21" s="7"/>
      <c r="B21" s="7"/>
    </row>
    <row r="22" spans="1:2">
      <c r="A22" s="7"/>
      <c r="B22" s="7"/>
    </row>
    <row r="23" spans="1:2">
      <c r="A23" s="7"/>
      <c r="B23" s="7"/>
    </row>
    <row r="24" spans="1:2">
      <c r="A24" s="7"/>
      <c r="B24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47"/>
  <sheetViews>
    <sheetView topLeftCell="A22" workbookViewId="0">
      <selection activeCell="Q47" sqref="Q47"/>
    </sheetView>
  </sheetViews>
  <sheetFormatPr defaultRowHeight="15"/>
  <cols>
    <col min="1" max="1" width="21.7109375" customWidth="1"/>
    <col min="11" max="11" width="15" bestFit="1" customWidth="1"/>
    <col min="12" max="12" width="14.42578125" bestFit="1" customWidth="1"/>
    <col min="13" max="13" width="12" bestFit="1" customWidth="1"/>
    <col min="15" max="15" width="12" bestFit="1" customWidth="1"/>
  </cols>
  <sheetData>
    <row r="1" spans="1:6">
      <c r="A1" t="s">
        <v>138</v>
      </c>
      <c r="B1" t="s">
        <v>139</v>
      </c>
      <c r="C1" t="s">
        <v>140</v>
      </c>
      <c r="D1" t="s">
        <v>141</v>
      </c>
      <c r="E1" t="s">
        <v>142</v>
      </c>
      <c r="F1" t="s">
        <v>143</v>
      </c>
    </row>
    <row r="2" spans="1:6">
      <c r="A2" t="s">
        <v>144</v>
      </c>
      <c r="B2">
        <v>6</v>
      </c>
      <c r="C2">
        <v>11</v>
      </c>
      <c r="D2">
        <v>6</v>
      </c>
      <c r="E2">
        <v>1.3414999999999999</v>
      </c>
      <c r="F2">
        <v>0.73170000000000002</v>
      </c>
    </row>
    <row r="3" spans="1:6">
      <c r="A3" t="s">
        <v>145</v>
      </c>
      <c r="B3">
        <v>6</v>
      </c>
      <c r="C3">
        <v>10</v>
      </c>
      <c r="D3">
        <v>9</v>
      </c>
      <c r="E3">
        <v>1.2195</v>
      </c>
      <c r="F3">
        <v>1.0975999999999999</v>
      </c>
    </row>
    <row r="4" spans="1:6">
      <c r="A4" t="s">
        <v>146</v>
      </c>
      <c r="B4">
        <v>6</v>
      </c>
      <c r="C4">
        <v>4</v>
      </c>
      <c r="D4">
        <v>12</v>
      </c>
      <c r="E4">
        <v>0.48780000000000001</v>
      </c>
      <c r="F4">
        <v>1.4634</v>
      </c>
    </row>
    <row r="5" spans="1:6">
      <c r="A5" t="s">
        <v>0</v>
      </c>
      <c r="B5">
        <v>6</v>
      </c>
      <c r="C5">
        <v>10</v>
      </c>
      <c r="D5">
        <v>5</v>
      </c>
      <c r="E5">
        <v>1.2195</v>
      </c>
      <c r="F5">
        <v>0.60980000000000001</v>
      </c>
    </row>
    <row r="6" spans="1:6">
      <c r="A6" t="s">
        <v>1</v>
      </c>
      <c r="B6">
        <v>6</v>
      </c>
      <c r="C6">
        <v>5</v>
      </c>
      <c r="D6">
        <v>11</v>
      </c>
      <c r="E6">
        <v>0.60980000000000001</v>
      </c>
      <c r="F6">
        <v>1.3414999999999999</v>
      </c>
    </row>
    <row r="7" spans="1:6">
      <c r="A7" t="s">
        <v>147</v>
      </c>
      <c r="B7">
        <v>6</v>
      </c>
      <c r="C7">
        <v>15</v>
      </c>
      <c r="D7">
        <v>7</v>
      </c>
      <c r="E7">
        <v>1.8292999999999999</v>
      </c>
      <c r="F7">
        <v>0.85370000000000001</v>
      </c>
    </row>
    <row r="8" spans="1:6">
      <c r="A8" t="s">
        <v>148</v>
      </c>
      <c r="B8">
        <v>7</v>
      </c>
      <c r="C8">
        <v>4</v>
      </c>
      <c r="D8">
        <v>9</v>
      </c>
      <c r="E8">
        <v>0.48780000000000001</v>
      </c>
      <c r="F8">
        <v>1.0975999999999999</v>
      </c>
    </row>
    <row r="9" spans="1:6">
      <c r="A9" t="s">
        <v>149</v>
      </c>
      <c r="B9">
        <v>6</v>
      </c>
      <c r="C9">
        <v>8</v>
      </c>
      <c r="D9">
        <v>5</v>
      </c>
      <c r="E9">
        <v>0.97560000000000002</v>
      </c>
      <c r="F9">
        <v>0.60980000000000001</v>
      </c>
    </row>
    <row r="10" spans="1:6">
      <c r="A10" t="s">
        <v>150</v>
      </c>
      <c r="B10">
        <v>7</v>
      </c>
      <c r="C10">
        <v>8</v>
      </c>
      <c r="D10">
        <v>15</v>
      </c>
      <c r="E10">
        <v>0.97560000000000002</v>
      </c>
      <c r="F10">
        <v>1.8292999999999999</v>
      </c>
    </row>
    <row r="11" spans="1:6">
      <c r="A11" t="s">
        <v>151</v>
      </c>
      <c r="B11">
        <v>6</v>
      </c>
      <c r="C11">
        <v>7</v>
      </c>
      <c r="D11">
        <v>6</v>
      </c>
      <c r="E11">
        <v>0.85370000000000001</v>
      </c>
      <c r="F11">
        <v>0.73170000000000002</v>
      </c>
    </row>
    <row r="12" spans="1:6">
      <c r="A12" t="s">
        <v>152</v>
      </c>
      <c r="B12">
        <v>6</v>
      </c>
      <c r="C12">
        <v>9</v>
      </c>
      <c r="D12">
        <v>7</v>
      </c>
      <c r="E12">
        <v>1.0975999999999999</v>
      </c>
      <c r="F12">
        <v>0.85370000000000001</v>
      </c>
    </row>
    <row r="13" spans="1:6">
      <c r="A13" t="s">
        <v>153</v>
      </c>
      <c r="B13">
        <v>6</v>
      </c>
      <c r="C13">
        <v>3</v>
      </c>
      <c r="D13">
        <v>8</v>
      </c>
      <c r="E13">
        <v>0.3659</v>
      </c>
      <c r="F13">
        <v>0.97560000000000002</v>
      </c>
    </row>
    <row r="14" spans="1:6">
      <c r="A14" t="s">
        <v>154</v>
      </c>
      <c r="B14">
        <v>5</v>
      </c>
      <c r="C14">
        <v>7</v>
      </c>
      <c r="D14">
        <v>6</v>
      </c>
      <c r="E14">
        <v>0.85370000000000001</v>
      </c>
      <c r="F14">
        <v>0.73170000000000002</v>
      </c>
    </row>
    <row r="15" spans="1:6">
      <c r="A15" t="s">
        <v>155</v>
      </c>
      <c r="B15">
        <v>6</v>
      </c>
      <c r="C15">
        <v>15</v>
      </c>
      <c r="D15">
        <v>2</v>
      </c>
      <c r="E15">
        <v>1.8292999999999999</v>
      </c>
      <c r="F15">
        <v>0.24390000000000001</v>
      </c>
    </row>
    <row r="16" spans="1:6">
      <c r="A16" t="s">
        <v>156</v>
      </c>
      <c r="B16">
        <v>6</v>
      </c>
      <c r="C16">
        <v>12</v>
      </c>
      <c r="D16">
        <v>6</v>
      </c>
      <c r="E16">
        <v>1.4634</v>
      </c>
      <c r="F16">
        <v>0.73170000000000002</v>
      </c>
    </row>
    <row r="17" spans="1:24">
      <c r="A17" t="s">
        <v>157</v>
      </c>
      <c r="B17">
        <v>5</v>
      </c>
      <c r="C17">
        <v>8</v>
      </c>
      <c r="D17">
        <v>10</v>
      </c>
      <c r="E17">
        <v>0.97560000000000002</v>
      </c>
      <c r="F17">
        <v>1.2195</v>
      </c>
    </row>
    <row r="18" spans="1:24">
      <c r="A18" t="s">
        <v>158</v>
      </c>
      <c r="B18">
        <v>6</v>
      </c>
      <c r="C18">
        <v>6</v>
      </c>
      <c r="D18">
        <v>9</v>
      </c>
      <c r="E18">
        <v>0.73170000000000002</v>
      </c>
      <c r="F18">
        <v>1.0975999999999999</v>
      </c>
    </row>
    <row r="19" spans="1:24">
      <c r="A19" t="s">
        <v>159</v>
      </c>
      <c r="B19">
        <v>6</v>
      </c>
      <c r="C19">
        <v>5</v>
      </c>
      <c r="D19">
        <v>8</v>
      </c>
      <c r="E19">
        <v>0.60980000000000001</v>
      </c>
      <c r="F19">
        <v>0.97560000000000002</v>
      </c>
    </row>
    <row r="20" spans="1:24">
      <c r="A20" t="s">
        <v>160</v>
      </c>
      <c r="B20">
        <v>6</v>
      </c>
      <c r="C20">
        <v>9</v>
      </c>
      <c r="D20">
        <v>6</v>
      </c>
      <c r="E20">
        <v>1.0975999999999999</v>
      </c>
      <c r="F20">
        <v>0.73170000000000002</v>
      </c>
    </row>
    <row r="21" spans="1:24">
      <c r="A21" t="s">
        <v>161</v>
      </c>
      <c r="B21">
        <v>6</v>
      </c>
      <c r="C21">
        <v>8</v>
      </c>
      <c r="D21">
        <v>17</v>
      </c>
      <c r="E21">
        <v>0.97560000000000002</v>
      </c>
      <c r="F21">
        <v>2.0731999999999999</v>
      </c>
    </row>
    <row r="22" spans="1:24">
      <c r="A22" t="s">
        <v>162</v>
      </c>
      <c r="B22">
        <v>1.6167</v>
      </c>
    </row>
    <row r="23" spans="1:24">
      <c r="A23" t="s">
        <v>163</v>
      </c>
      <c r="B23">
        <v>1.1167</v>
      </c>
    </row>
    <row r="24" spans="1:24">
      <c r="A24" t="s">
        <v>169</v>
      </c>
      <c r="B24">
        <v>97</v>
      </c>
    </row>
    <row r="25" spans="1:24">
      <c r="A25" t="s">
        <v>170</v>
      </c>
      <c r="B25">
        <v>67</v>
      </c>
    </row>
    <row r="26" spans="1:24">
      <c r="A26" t="s">
        <v>171</v>
      </c>
      <c r="B26">
        <v>60</v>
      </c>
    </row>
    <row r="27" spans="1:24">
      <c r="B27" t="s">
        <v>112</v>
      </c>
      <c r="C27" t="s">
        <v>113</v>
      </c>
      <c r="D27" t="s">
        <v>172</v>
      </c>
      <c r="E27" t="s">
        <v>165</v>
      </c>
      <c r="F27" t="s">
        <v>128</v>
      </c>
      <c r="G27" t="s">
        <v>166</v>
      </c>
      <c r="H27" t="s">
        <v>167</v>
      </c>
      <c r="I27" t="s">
        <v>130</v>
      </c>
      <c r="J27" t="s">
        <v>168</v>
      </c>
      <c r="K27" t="s">
        <v>181</v>
      </c>
      <c r="L27" t="s">
        <v>182</v>
      </c>
      <c r="M27">
        <v>0</v>
      </c>
      <c r="N27">
        <v>1</v>
      </c>
      <c r="O27">
        <v>2</v>
      </c>
      <c r="P27">
        <v>3</v>
      </c>
      <c r="Q27">
        <v>4</v>
      </c>
      <c r="R27">
        <v>5</v>
      </c>
      <c r="S27" t="s">
        <v>183</v>
      </c>
      <c r="T27" t="s">
        <v>184</v>
      </c>
      <c r="U27" t="s">
        <v>185</v>
      </c>
      <c r="V27" t="s">
        <v>186</v>
      </c>
      <c r="W27" t="s">
        <v>188</v>
      </c>
      <c r="X27" t="s">
        <v>189</v>
      </c>
    </row>
    <row r="28" spans="1:24">
      <c r="A28" t="s">
        <v>164</v>
      </c>
      <c r="B28">
        <v>97</v>
      </c>
      <c r="C28">
        <v>67</v>
      </c>
      <c r="D28">
        <v>60</v>
      </c>
      <c r="E28">
        <v>15</v>
      </c>
      <c r="F28">
        <v>7</v>
      </c>
      <c r="G28">
        <v>6</v>
      </c>
      <c r="H28">
        <v>7</v>
      </c>
      <c r="I28">
        <v>6</v>
      </c>
      <c r="J28">
        <v>5</v>
      </c>
      <c r="K28">
        <f>(B28/D28)*((E28/G28)/(SUM($B28:$C28)/($D28*2)))*((I28/J28)/(SUM($B28:$C28)/($D28*2)))</f>
        <v>2.5966686496133256</v>
      </c>
      <c r="L28">
        <f>(C28/D28)*((H28/J28)/(SUM(B28:C28)/(D28*2)))*((F28/G28)/(SUM(B28:C28)/(D28*2)))</f>
        <v>0.97650208209399181</v>
      </c>
      <c r="M28">
        <f t="shared" ref="M28:R28" si="0">POISSON(M$27,$K28,FALSE)</f>
        <v>7.4521422126082218E-2</v>
      </c>
      <c r="N28">
        <f t="shared" si="0"/>
        <v>0.19350744055939853</v>
      </c>
      <c r="O28">
        <f t="shared" si="0"/>
        <v>0.25123735218375209</v>
      </c>
      <c r="P28">
        <f t="shared" si="0"/>
        <v>0.21746005200913701</v>
      </c>
      <c r="Q28">
        <f t="shared" si="0"/>
        <v>0.14116792489885235</v>
      </c>
      <c r="R28">
        <f t="shared" si="0"/>
        <v>7.3313264983163651E-2</v>
      </c>
      <c r="S28">
        <v>2</v>
      </c>
      <c r="T28">
        <v>3</v>
      </c>
      <c r="V28" t="s">
        <v>187</v>
      </c>
    </row>
    <row r="29" spans="1:24">
      <c r="M29">
        <f t="shared" ref="M29:R29" si="1">POISSON(M$27,$L28,FALSE)</f>
        <v>0.37662620499014893</v>
      </c>
      <c r="N29">
        <f t="shared" si="1"/>
        <v>0.36777627334403901</v>
      </c>
      <c r="O29">
        <f t="shared" si="1"/>
        <v>0.17956714833261159</v>
      </c>
      <c r="P29">
        <f t="shared" si="1"/>
        <v>5.8449231407491961E-2</v>
      </c>
      <c r="Q29">
        <f t="shared" si="1"/>
        <v>1.4268949041552358E-2</v>
      </c>
      <c r="R29">
        <f t="shared" si="1"/>
        <v>2.7867316896737892E-3</v>
      </c>
      <c r="S29">
        <v>0</v>
      </c>
      <c r="T29">
        <v>1</v>
      </c>
      <c r="V29" t="s">
        <v>187</v>
      </c>
    </row>
    <row r="30" spans="1:24">
      <c r="A30" t="s">
        <v>173</v>
      </c>
      <c r="B30">
        <v>97</v>
      </c>
      <c r="C30">
        <v>67</v>
      </c>
      <c r="D30">
        <v>60</v>
      </c>
      <c r="E30">
        <v>7</v>
      </c>
      <c r="F30">
        <v>6</v>
      </c>
      <c r="G30">
        <v>7</v>
      </c>
      <c r="H30">
        <v>9</v>
      </c>
      <c r="I30">
        <v>6</v>
      </c>
      <c r="J30">
        <v>6</v>
      </c>
      <c r="K30">
        <f t="shared" ref="K30:K44" si="2">(B30/D30)*((E30/G30)/(SUM($B30:$C30)/($D30*2)))*((I30/J30)/(SUM($B30:$C30)/($D30*2)))</f>
        <v>0.86555621653777504</v>
      </c>
      <c r="L30">
        <f t="shared" ref="L30:L44" si="3">(C30/D30)*((H30/J30)/(SUM(B30:C30)/(D30*2)))*((F30/G30)/(SUM(B30:C30)/(D30*2)))</f>
        <v>0.76867510835387109</v>
      </c>
      <c r="M30">
        <f t="shared" ref="M30:R30" si="4">POISSON(M$27,$K30,FALSE)</f>
        <v>0.42081742191021959</v>
      </c>
      <c r="N30">
        <f t="shared" si="4"/>
        <v>0.36424113556179022</v>
      </c>
      <c r="O30">
        <f t="shared" si="4"/>
        <v>0.15763558960214299</v>
      </c>
      <c r="P30">
        <f t="shared" si="4"/>
        <v>4.5480821509244103E-2</v>
      </c>
      <c r="Q30">
        <f t="shared" si="4"/>
        <v>9.8415519476427963E-3</v>
      </c>
      <c r="R30">
        <f t="shared" si="4"/>
        <v>1.7036832937323339E-3</v>
      </c>
      <c r="S30">
        <v>0</v>
      </c>
      <c r="T30">
        <v>2</v>
      </c>
    </row>
    <row r="31" spans="1:24">
      <c r="M31">
        <f t="shared" ref="M31:R31" si="5">POISSON(M$27,$L30,FALSE)</f>
        <v>0.46362691700919872</v>
      </c>
      <c r="N31">
        <f t="shared" si="5"/>
        <v>0.35637847066781703</v>
      </c>
      <c r="O31">
        <f t="shared" si="5"/>
        <v>0.13696962977778557</v>
      </c>
      <c r="P31">
        <f t="shared" si="5"/>
        <v>3.5095048336876308E-2</v>
      </c>
      <c r="Q31">
        <f t="shared" si="5"/>
        <v>6.7441725207581854E-3</v>
      </c>
      <c r="R31">
        <f t="shared" si="5"/>
        <v>1.0368155086301995E-3</v>
      </c>
      <c r="S31">
        <v>0</v>
      </c>
      <c r="T31">
        <v>3</v>
      </c>
    </row>
    <row r="32" spans="1:24">
      <c r="A32" t="s">
        <v>174</v>
      </c>
      <c r="B32">
        <v>97</v>
      </c>
      <c r="C32">
        <v>67</v>
      </c>
      <c r="D32">
        <v>60</v>
      </c>
      <c r="E32">
        <v>5</v>
      </c>
      <c r="F32">
        <v>8</v>
      </c>
      <c r="G32">
        <v>6</v>
      </c>
      <c r="H32">
        <v>8</v>
      </c>
      <c r="I32">
        <v>15</v>
      </c>
      <c r="J32">
        <v>7</v>
      </c>
      <c r="K32">
        <f t="shared" si="2"/>
        <v>1.5456361009603126</v>
      </c>
      <c r="L32">
        <f t="shared" si="3"/>
        <v>0.91102235064162473</v>
      </c>
      <c r="M32">
        <f t="shared" ref="M32:R32" si="6">POISSON(M$27,$K32,FALSE)</f>
        <v>0.21317622648323414</v>
      </c>
      <c r="N32">
        <f t="shared" si="6"/>
        <v>0.32949287151897855</v>
      </c>
      <c r="O32">
        <f t="shared" si="6"/>
        <v>0.25463803861440559</v>
      </c>
      <c r="P32">
        <f t="shared" si="6"/>
        <v>0.13119258172005047</v>
      </c>
      <c r="Q32">
        <f t="shared" si="6"/>
        <v>5.0693997621173992E-2</v>
      </c>
      <c r="R32">
        <f t="shared" si="6"/>
        <v>1.5670894565056544E-2</v>
      </c>
      <c r="S32">
        <v>1</v>
      </c>
      <c r="T32">
        <v>2</v>
      </c>
    </row>
    <row r="33" spans="1:23">
      <c r="M33">
        <f t="shared" ref="M33:R33" si="7">POISSON(M$27,$L32,FALSE)</f>
        <v>0.40211291342258626</v>
      </c>
      <c r="N33">
        <f t="shared" si="7"/>
        <v>0.36633385160959669</v>
      </c>
      <c r="O33">
        <f t="shared" si="7"/>
        <v>0.16686916330648743</v>
      </c>
      <c r="P33">
        <f t="shared" si="7"/>
        <v>5.0673845801692444E-2</v>
      </c>
      <c r="Q33">
        <f t="shared" si="7"/>
        <v>1.154125152957727E-2</v>
      </c>
      <c r="R33">
        <f t="shared" si="7"/>
        <v>2.102867619564346E-3</v>
      </c>
      <c r="S33">
        <v>0</v>
      </c>
      <c r="T33">
        <v>2</v>
      </c>
    </row>
    <row r="34" spans="1:23">
      <c r="A34" t="s">
        <v>175</v>
      </c>
      <c r="B34">
        <v>97</v>
      </c>
      <c r="C34">
        <v>67</v>
      </c>
      <c r="D34">
        <v>60</v>
      </c>
      <c r="E34">
        <v>8</v>
      </c>
      <c r="F34">
        <v>17</v>
      </c>
      <c r="G34">
        <v>6</v>
      </c>
      <c r="H34">
        <v>4</v>
      </c>
      <c r="I34">
        <v>9</v>
      </c>
      <c r="J34">
        <v>7</v>
      </c>
      <c r="K34">
        <f t="shared" si="2"/>
        <v>1.4838106569219003</v>
      </c>
      <c r="L34">
        <f t="shared" si="3"/>
        <v>0.9679612475567263</v>
      </c>
      <c r="M34">
        <f t="shared" ref="M34:R34" si="8">POISSON(M$27,$K34,FALSE)</f>
        <v>0.22677188992902145</v>
      </c>
      <c r="N34">
        <f t="shared" si="8"/>
        <v>0.3364865469670022</v>
      </c>
      <c r="O34">
        <f t="shared" si="8"/>
        <v>0.24964116215024471</v>
      </c>
      <c r="P34">
        <f t="shared" si="8"/>
        <v>0.12347340560163374</v>
      </c>
      <c r="Q34">
        <f t="shared" si="8"/>
        <v>4.5802788769536099E-2</v>
      </c>
      <c r="R34">
        <f t="shared" si="8"/>
        <v>1.3592533218596079E-2</v>
      </c>
      <c r="S34">
        <v>1</v>
      </c>
      <c r="T34">
        <v>2</v>
      </c>
      <c r="V34" t="s">
        <v>187</v>
      </c>
    </row>
    <row r="35" spans="1:23">
      <c r="M35">
        <f t="shared" ref="M35:R35" si="9">POISSON(M$27,$L34,FALSE)</f>
        <v>0.37985668294071917</v>
      </c>
      <c r="N35">
        <f t="shared" si="9"/>
        <v>0.36768654871205836</v>
      </c>
      <c r="O35">
        <f t="shared" si="9"/>
        <v>0.1779531652005755</v>
      </c>
      <c r="P35">
        <f t="shared" si="9"/>
        <v>5.7417255931405758E-2</v>
      </c>
      <c r="Q35">
        <f t="shared" si="9"/>
        <v>1.3894419670661838E-2</v>
      </c>
      <c r="R35">
        <f t="shared" si="9"/>
        <v>2.6898519596981105E-3</v>
      </c>
      <c r="S35">
        <v>0</v>
      </c>
      <c r="T35">
        <v>0</v>
      </c>
      <c r="V35" t="s">
        <v>187</v>
      </c>
    </row>
    <row r="36" spans="1:23">
      <c r="A36" t="s">
        <v>176</v>
      </c>
      <c r="B36">
        <v>97</v>
      </c>
      <c r="C36">
        <v>67</v>
      </c>
      <c r="D36">
        <v>60</v>
      </c>
      <c r="E36">
        <v>10</v>
      </c>
      <c r="F36">
        <v>9</v>
      </c>
      <c r="G36">
        <v>6</v>
      </c>
      <c r="H36">
        <v>4</v>
      </c>
      <c r="I36">
        <v>12</v>
      </c>
      <c r="J36">
        <v>6</v>
      </c>
      <c r="K36">
        <f t="shared" si="2"/>
        <v>2.8851873884592503</v>
      </c>
      <c r="L36">
        <f t="shared" si="3"/>
        <v>0.59785841760856628</v>
      </c>
      <c r="M36">
        <f t="shared" ref="M36:R36" si="10">POISSON(M$27,$K36,FALSE)</f>
        <v>5.5844323974125691E-2</v>
      </c>
      <c r="N36">
        <f t="shared" si="10"/>
        <v>0.16112133924718</v>
      </c>
      <c r="O36">
        <f t="shared" si="10"/>
        <v>0.23243262800381409</v>
      </c>
      <c r="P36">
        <f t="shared" si="10"/>
        <v>0.22353722899434825</v>
      </c>
      <c r="Q36">
        <f t="shared" si="10"/>
        <v>0.16123669848640526</v>
      </c>
      <c r="R36">
        <f t="shared" si="10"/>
        <v>9.303961780595664E-2</v>
      </c>
      <c r="S36">
        <v>2</v>
      </c>
      <c r="T36">
        <v>2</v>
      </c>
      <c r="V36" t="s">
        <v>187</v>
      </c>
      <c r="W36" t="s">
        <v>187</v>
      </c>
    </row>
    <row r="37" spans="1:23">
      <c r="M37">
        <f t="shared" ref="M37:R37" si="11">POISSON(M$27,$L36,FALSE)</f>
        <v>0.54998822085701893</v>
      </c>
      <c r="N37">
        <f t="shared" si="11"/>
        <v>0.32881508742492799</v>
      </c>
      <c r="O37">
        <f t="shared" si="11"/>
        <v>9.8292433926844919E-2</v>
      </c>
      <c r="P37">
        <f t="shared" si="11"/>
        <v>1.9588319670132685E-2</v>
      </c>
      <c r="Q37">
        <f t="shared" si="11"/>
        <v>2.9277604503990702E-3</v>
      </c>
      <c r="R37">
        <f t="shared" si="11"/>
        <v>3.5007724600250625E-4</v>
      </c>
      <c r="S37">
        <v>0</v>
      </c>
      <c r="T37">
        <v>1</v>
      </c>
      <c r="V37" t="s">
        <v>187</v>
      </c>
    </row>
    <row r="38" spans="1:23">
      <c r="A38" t="s">
        <v>177</v>
      </c>
      <c r="B38">
        <v>97</v>
      </c>
      <c r="C38">
        <v>67</v>
      </c>
      <c r="D38">
        <v>60</v>
      </c>
      <c r="E38">
        <v>8</v>
      </c>
      <c r="F38">
        <v>10</v>
      </c>
      <c r="G38">
        <v>5</v>
      </c>
      <c r="H38">
        <v>11</v>
      </c>
      <c r="I38">
        <v>6</v>
      </c>
      <c r="J38">
        <v>6</v>
      </c>
      <c r="K38">
        <f t="shared" si="2"/>
        <v>1.3848899464604401</v>
      </c>
      <c r="L38">
        <f t="shared" si="3"/>
        <v>2.1921475312314098</v>
      </c>
      <c r="M38">
        <f t="shared" ref="M38:R38" si="12">POISSON(M$27,$K38,FALSE)</f>
        <v>0.25035135032789219</v>
      </c>
      <c r="N38">
        <f t="shared" si="12"/>
        <v>0.34670906815189345</v>
      </c>
      <c r="O38">
        <f t="shared" si="12"/>
        <v>0.2400769514151124</v>
      </c>
      <c r="P38">
        <f t="shared" si="12"/>
        <v>0.11082671879722023</v>
      </c>
      <c r="Q38">
        <f t="shared" si="12"/>
        <v>3.8370702165367143E-2</v>
      </c>
      <c r="R38">
        <f t="shared" si="12"/>
        <v>1.0627839933488958E-2</v>
      </c>
      <c r="S38">
        <v>1</v>
      </c>
      <c r="T38">
        <v>1</v>
      </c>
      <c r="W38" t="s">
        <v>187</v>
      </c>
    </row>
    <row r="39" spans="1:23">
      <c r="M39">
        <f t="shared" ref="M39:R39" si="13">POISSON(M$27,$L38,FALSE)</f>
        <v>0.11167666179360297</v>
      </c>
      <c r="N39">
        <f t="shared" si="13"/>
        <v>0.24481171844701186</v>
      </c>
      <c r="O39">
        <f t="shared" si="13"/>
        <v>0.26833170210506802</v>
      </c>
      <c r="P39">
        <f t="shared" si="13"/>
        <v>0.19607422610691563</v>
      </c>
      <c r="Q39">
        <f t="shared" si="13"/>
        <v>0.10745590767459608</v>
      </c>
      <c r="R39">
        <f t="shared" si="13"/>
        <v>4.7111840545019226E-2</v>
      </c>
      <c r="S39">
        <v>2</v>
      </c>
      <c r="T39">
        <v>0</v>
      </c>
    </row>
    <row r="40" spans="1:23">
      <c r="A40" t="s">
        <v>178</v>
      </c>
      <c r="B40">
        <v>97</v>
      </c>
      <c r="C40">
        <v>67</v>
      </c>
      <c r="D40">
        <v>60</v>
      </c>
      <c r="E40">
        <v>15</v>
      </c>
      <c r="F40">
        <v>2</v>
      </c>
      <c r="G40">
        <v>6</v>
      </c>
      <c r="H40">
        <v>6</v>
      </c>
      <c r="I40">
        <v>9</v>
      </c>
      <c r="J40">
        <v>6</v>
      </c>
      <c r="K40">
        <f t="shared" si="2"/>
        <v>3.2458358120166571</v>
      </c>
      <c r="L40">
        <f t="shared" si="3"/>
        <v>0.19928613920285543</v>
      </c>
      <c r="M40">
        <f t="shared" ref="M40:R40" si="14">POISSON(M$27,$K40,FALSE)</f>
        <v>3.8936007570496367E-2</v>
      </c>
      <c r="N40">
        <f t="shared" si="14"/>
        <v>0.12637988774926875</v>
      </c>
      <c r="O40">
        <f t="shared" si="14"/>
        <v>0.20510418278761086</v>
      </c>
      <c r="P40">
        <f t="shared" si="14"/>
        <v>0.22191150056214592</v>
      </c>
      <c r="Q40">
        <f t="shared" si="14"/>
        <v>0.18007207390574195</v>
      </c>
      <c r="R40">
        <f t="shared" si="14"/>
        <v>0.11689687724547347</v>
      </c>
      <c r="S40">
        <v>3</v>
      </c>
      <c r="T40">
        <v>3</v>
      </c>
      <c r="V40" t="s">
        <v>187</v>
      </c>
      <c r="W40" t="s">
        <v>187</v>
      </c>
    </row>
    <row r="41" spans="1:23">
      <c r="M41">
        <f t="shared" ref="M41:R41" si="15">POISSON(M$27,$L40,FALSE)</f>
        <v>0.81931542152713499</v>
      </c>
      <c r="N41">
        <f t="shared" si="15"/>
        <v>0.16327820714550281</v>
      </c>
      <c r="O41">
        <f t="shared" si="15"/>
        <v>1.6269541758995667E-2</v>
      </c>
      <c r="P41">
        <f t="shared" si="15"/>
        <v>1.08076472124996E-3</v>
      </c>
      <c r="Q41">
        <f t="shared" si="15"/>
        <v>5.3845357171138704E-5</v>
      </c>
      <c r="R41">
        <f t="shared" si="15"/>
        <v>2.1461266689270033E-6</v>
      </c>
      <c r="S41">
        <v>0</v>
      </c>
      <c r="T41">
        <v>2</v>
      </c>
      <c r="V41" t="s">
        <v>187</v>
      </c>
    </row>
    <row r="42" spans="1:23">
      <c r="A42" t="s">
        <v>179</v>
      </c>
      <c r="B42">
        <v>97</v>
      </c>
      <c r="C42">
        <v>67</v>
      </c>
      <c r="D42">
        <v>60</v>
      </c>
      <c r="E42">
        <v>8</v>
      </c>
      <c r="F42">
        <v>5</v>
      </c>
      <c r="G42">
        <v>6</v>
      </c>
      <c r="H42">
        <v>9</v>
      </c>
      <c r="I42">
        <v>7</v>
      </c>
      <c r="J42">
        <v>6</v>
      </c>
      <c r="K42">
        <f t="shared" si="2"/>
        <v>1.3464207812809834</v>
      </c>
      <c r="L42">
        <f t="shared" si="3"/>
        <v>0.74732302201070799</v>
      </c>
      <c r="M42">
        <f t="shared" ref="M42:R42" si="16">POISSON(M$27,$K42,FALSE)</f>
        <v>0.26016980076086382</v>
      </c>
      <c r="N42">
        <f t="shared" si="16"/>
        <v>0.35029802640616009</v>
      </c>
      <c r="O42">
        <f t="shared" si="16"/>
        <v>0.23582427119748431</v>
      </c>
      <c r="P42">
        <f t="shared" si="16"/>
        <v>0.10583956649024512</v>
      </c>
      <c r="Q42">
        <f t="shared" si="16"/>
        <v>3.5626147951059103E-2</v>
      </c>
      <c r="R42">
        <f t="shared" si="16"/>
        <v>9.5935571916593819E-3</v>
      </c>
      <c r="S42">
        <v>1</v>
      </c>
      <c r="T42">
        <v>2</v>
      </c>
      <c r="V42" t="s">
        <v>187</v>
      </c>
    </row>
    <row r="43" spans="1:23">
      <c r="M43">
        <f t="shared" ref="M43:R43" si="17">POISSON(M$27,$L42,FALSE)</f>
        <v>0.47363276165612017</v>
      </c>
      <c r="N43">
        <f t="shared" si="17"/>
        <v>0.35395666676412912</v>
      </c>
      <c r="O43">
        <f t="shared" si="17"/>
        <v>0.13225998293350305</v>
      </c>
      <c r="P43">
        <f t="shared" si="17"/>
        <v>3.2946976712316722E-2</v>
      </c>
      <c r="Q43">
        <f t="shared" si="17"/>
        <v>6.1555085506912388E-3</v>
      </c>
      <c r="R43">
        <f t="shared" si="17"/>
        <v>9.2003065042306606E-4</v>
      </c>
      <c r="S43">
        <v>0</v>
      </c>
      <c r="T43">
        <v>0</v>
      </c>
      <c r="V43" t="s">
        <v>187</v>
      </c>
      <c r="W43" t="s">
        <v>187</v>
      </c>
    </row>
    <row r="44" spans="1:23">
      <c r="A44" t="s">
        <v>180</v>
      </c>
      <c r="B44">
        <v>97</v>
      </c>
      <c r="C44">
        <v>67</v>
      </c>
      <c r="D44">
        <v>60</v>
      </c>
      <c r="E44">
        <v>3</v>
      </c>
      <c r="F44">
        <v>8</v>
      </c>
      <c r="G44">
        <v>6</v>
      </c>
      <c r="H44">
        <v>12</v>
      </c>
      <c r="I44">
        <v>6</v>
      </c>
      <c r="J44">
        <v>6</v>
      </c>
      <c r="K44">
        <f t="shared" si="2"/>
        <v>0.43277810826888752</v>
      </c>
      <c r="L44">
        <f t="shared" si="3"/>
        <v>1.5942891136228434</v>
      </c>
      <c r="M44">
        <f t="shared" ref="M44:R44" si="18">POISSON(M$27,$K44,FALSE)</f>
        <v>0.64870441798265899</v>
      </c>
      <c r="N44">
        <f t="shared" si="18"/>
        <v>0.28074507084020489</v>
      </c>
      <c r="O44">
        <f t="shared" si="18"/>
        <v>6.0750160332019333E-2</v>
      </c>
      <c r="P44">
        <f t="shared" si="18"/>
        <v>8.76377982184098E-3</v>
      </c>
      <c r="Q44">
        <f t="shared" si="18"/>
        <v>9.4819301314534685E-4</v>
      </c>
      <c r="R44">
        <f t="shared" si="18"/>
        <v>8.2071435700563919E-5</v>
      </c>
      <c r="S44">
        <v>0</v>
      </c>
      <c r="T44">
        <v>0</v>
      </c>
      <c r="U44" t="s">
        <v>187</v>
      </c>
      <c r="V44" t="s">
        <v>187</v>
      </c>
      <c r="W44" t="s">
        <v>187</v>
      </c>
    </row>
    <row r="45" spans="1:23">
      <c r="M45">
        <f t="shared" ref="M45:R45" si="19">POISSON(M$27,$L44,FALSE)</f>
        <v>0.2030528246942897</v>
      </c>
      <c r="N45">
        <f t="shared" si="19"/>
        <v>0.32372490790047376</v>
      </c>
      <c r="O45">
        <f t="shared" si="19"/>
        <v>0.2580555482371415</v>
      </c>
      <c r="P45">
        <f t="shared" si="19"/>
        <v>0.13713838375481641</v>
      </c>
      <c r="Q45">
        <f t="shared" si="19"/>
        <v>5.4659558070033906E-2</v>
      </c>
      <c r="R45">
        <f t="shared" si="19"/>
        <v>1.7428627677298136E-2</v>
      </c>
      <c r="S45">
        <v>1</v>
      </c>
      <c r="T45">
        <v>1</v>
      </c>
      <c r="U45" t="s">
        <v>187</v>
      </c>
      <c r="V45" t="s">
        <v>187</v>
      </c>
      <c r="W45" t="s">
        <v>187</v>
      </c>
    </row>
    <row r="46" spans="1:23">
      <c r="U46">
        <f>1/10</f>
        <v>0.1</v>
      </c>
      <c r="V46">
        <f>6/10</f>
        <v>0.6</v>
      </c>
      <c r="W46" s="8">
        <f>6/20</f>
        <v>0.3</v>
      </c>
    </row>
    <row r="47" spans="1:23">
      <c r="O47">
        <f>SUM(O29:P29)</f>
        <v>0.23801637974010353</v>
      </c>
      <c r="Q47">
        <f>SUM(Q29:R29)</f>
        <v>1.7055680731226146E-2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E47"/>
  <sheetViews>
    <sheetView topLeftCell="W19" workbookViewId="0">
      <selection activeCell="AD43" sqref="AD43"/>
    </sheetView>
  </sheetViews>
  <sheetFormatPr defaultRowHeight="15"/>
  <cols>
    <col min="1" max="1" width="26.28515625" bestFit="1" customWidth="1"/>
    <col min="2" max="3" width="9.140625" customWidth="1"/>
    <col min="15" max="15" width="13" customWidth="1"/>
    <col min="19" max="19" width="12.42578125" bestFit="1" customWidth="1"/>
  </cols>
  <sheetData>
    <row r="1" spans="1:31">
      <c r="A1" t="s">
        <v>2</v>
      </c>
      <c r="B1">
        <v>5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  <c r="Z1" t="s">
        <v>78</v>
      </c>
      <c r="AA1" t="s">
        <v>79</v>
      </c>
      <c r="AE1" t="s">
        <v>80</v>
      </c>
    </row>
    <row r="2" spans="1:31">
      <c r="A2" t="s">
        <v>3</v>
      </c>
      <c r="B2">
        <v>5</v>
      </c>
      <c r="M2" s="2">
        <v>41504.625</v>
      </c>
      <c r="N2">
        <v>1</v>
      </c>
      <c r="O2" t="s">
        <v>34</v>
      </c>
      <c r="P2">
        <v>90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3</v>
      </c>
      <c r="AA2">
        <v>0</v>
      </c>
      <c r="AB2">
        <v>11</v>
      </c>
      <c r="AC2">
        <v>0</v>
      </c>
      <c r="AD2" s="3">
        <v>5</v>
      </c>
      <c r="AE2">
        <v>7</v>
      </c>
    </row>
    <row r="3" spans="1:31">
      <c r="A3" t="s">
        <v>4</v>
      </c>
      <c r="B3">
        <v>3</v>
      </c>
      <c r="M3" s="2">
        <v>41518.625</v>
      </c>
      <c r="N3">
        <v>3</v>
      </c>
      <c r="O3" t="s">
        <v>35</v>
      </c>
      <c r="P3">
        <v>90</v>
      </c>
      <c r="Q3">
        <v>0</v>
      </c>
      <c r="R3">
        <v>0</v>
      </c>
      <c r="S3">
        <v>0</v>
      </c>
      <c r="T3">
        <v>2</v>
      </c>
      <c r="U3">
        <v>0</v>
      </c>
      <c r="V3">
        <v>0</v>
      </c>
      <c r="W3">
        <v>0</v>
      </c>
      <c r="X3">
        <v>0</v>
      </c>
      <c r="Y3">
        <v>0</v>
      </c>
      <c r="Z3">
        <v>4</v>
      </c>
      <c r="AA3">
        <v>0</v>
      </c>
      <c r="AB3">
        <v>9</v>
      </c>
      <c r="AC3">
        <v>483</v>
      </c>
      <c r="AD3" s="3">
        <v>5</v>
      </c>
      <c r="AE3">
        <v>2</v>
      </c>
    </row>
    <row r="4" spans="1:31">
      <c r="A4" t="s">
        <v>5</v>
      </c>
      <c r="B4">
        <v>2</v>
      </c>
      <c r="M4" s="2">
        <v>41532.729166666664</v>
      </c>
      <c r="N4">
        <v>4</v>
      </c>
      <c r="O4" t="s">
        <v>36</v>
      </c>
      <c r="P4">
        <v>90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5</v>
      </c>
      <c r="AA4">
        <v>0</v>
      </c>
      <c r="AB4">
        <v>9</v>
      </c>
      <c r="AC4">
        <v>-337</v>
      </c>
      <c r="AD4" s="3">
        <v>5</v>
      </c>
      <c r="AE4">
        <v>3</v>
      </c>
    </row>
    <row r="5" spans="1:31">
      <c r="A5" t="s">
        <v>10</v>
      </c>
      <c r="B5">
        <v>2.5</v>
      </c>
      <c r="M5" s="2">
        <v>41539.625</v>
      </c>
      <c r="N5">
        <v>5</v>
      </c>
      <c r="O5" t="s">
        <v>37</v>
      </c>
      <c r="P5">
        <v>90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2</v>
      </c>
      <c r="AA5">
        <v>0</v>
      </c>
      <c r="AB5">
        <v>7</v>
      </c>
      <c r="AC5">
        <v>657</v>
      </c>
      <c r="AD5" s="3">
        <v>5</v>
      </c>
      <c r="AE5">
        <v>2</v>
      </c>
    </row>
    <row r="6" spans="1:31">
      <c r="A6" t="s">
        <v>11</v>
      </c>
      <c r="B6">
        <v>2.5</v>
      </c>
      <c r="M6" s="2">
        <v>41546.625</v>
      </c>
      <c r="N6">
        <v>6</v>
      </c>
      <c r="O6" t="s">
        <v>38</v>
      </c>
      <c r="P6">
        <v>90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3</v>
      </c>
      <c r="AA6">
        <v>0</v>
      </c>
      <c r="AB6">
        <v>19</v>
      </c>
      <c r="AC6">
        <v>3166</v>
      </c>
      <c r="AD6" s="3">
        <v>5</v>
      </c>
      <c r="AE6">
        <v>7</v>
      </c>
    </row>
    <row r="7" spans="1:31">
      <c r="A7" t="s">
        <v>6</v>
      </c>
      <c r="B7">
        <f>3/B5</f>
        <v>1.2</v>
      </c>
      <c r="M7" s="2">
        <v>41553.53125</v>
      </c>
      <c r="N7">
        <v>7</v>
      </c>
      <c r="O7" t="s">
        <v>39</v>
      </c>
      <c r="P7">
        <v>90</v>
      </c>
      <c r="Q7">
        <v>0</v>
      </c>
      <c r="R7">
        <v>0</v>
      </c>
      <c r="S7">
        <v>0</v>
      </c>
      <c r="T7">
        <v>3</v>
      </c>
      <c r="U7">
        <v>0</v>
      </c>
      <c r="V7">
        <v>0</v>
      </c>
      <c r="W7">
        <v>0</v>
      </c>
      <c r="X7">
        <v>0</v>
      </c>
      <c r="Y7">
        <v>0</v>
      </c>
      <c r="Z7">
        <v>5</v>
      </c>
      <c r="AA7">
        <v>0</v>
      </c>
      <c r="AB7">
        <v>5</v>
      </c>
      <c r="AC7">
        <v>828</v>
      </c>
      <c r="AD7" s="3">
        <v>5</v>
      </c>
      <c r="AE7">
        <v>2</v>
      </c>
    </row>
    <row r="8" spans="1:31">
      <c r="A8" t="s">
        <v>7</v>
      </c>
      <c r="B8">
        <f>2/B5</f>
        <v>0.8</v>
      </c>
      <c r="D8">
        <f>2/B5</f>
        <v>0.8</v>
      </c>
      <c r="M8" s="2">
        <v>41568.5625</v>
      </c>
      <c r="N8">
        <v>8</v>
      </c>
      <c r="O8" t="s">
        <v>40</v>
      </c>
      <c r="P8">
        <v>90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4</v>
      </c>
      <c r="AA8">
        <v>0</v>
      </c>
      <c r="AB8">
        <v>9</v>
      </c>
      <c r="AC8">
        <v>723</v>
      </c>
      <c r="AD8" s="3">
        <v>5</v>
      </c>
      <c r="AE8">
        <v>3</v>
      </c>
    </row>
    <row r="9" spans="1:31">
      <c r="A9" t="s">
        <v>8</v>
      </c>
      <c r="B9">
        <f>2/B6</f>
        <v>0.8</v>
      </c>
      <c r="M9" s="2">
        <v>41574.625</v>
      </c>
      <c r="N9">
        <v>9</v>
      </c>
      <c r="O9" t="s">
        <v>41</v>
      </c>
      <c r="P9">
        <v>90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4</v>
      </c>
      <c r="AA9">
        <v>1</v>
      </c>
      <c r="AB9">
        <v>16</v>
      </c>
      <c r="AC9">
        <v>-428</v>
      </c>
      <c r="AD9" s="3">
        <v>5</v>
      </c>
      <c r="AE9">
        <v>8</v>
      </c>
    </row>
    <row r="10" spans="1:31">
      <c r="A10" t="s">
        <v>9</v>
      </c>
      <c r="B10">
        <f>3/B5</f>
        <v>1.2</v>
      </c>
      <c r="M10" s="2">
        <v>41581.625</v>
      </c>
      <c r="N10">
        <v>10</v>
      </c>
      <c r="O10" t="s">
        <v>42</v>
      </c>
      <c r="P10">
        <v>90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3</v>
      </c>
      <c r="AA10">
        <v>0</v>
      </c>
      <c r="AB10">
        <v>6</v>
      </c>
      <c r="AC10">
        <v>15548</v>
      </c>
      <c r="AD10" s="3">
        <v>5</v>
      </c>
      <c r="AE10">
        <v>3</v>
      </c>
    </row>
    <row r="11" spans="1:31">
      <c r="M11" s="2">
        <v>41588.625</v>
      </c>
      <c r="N11">
        <v>11</v>
      </c>
      <c r="O11" t="s">
        <v>43</v>
      </c>
      <c r="P11">
        <v>90</v>
      </c>
      <c r="Q11">
        <v>0</v>
      </c>
      <c r="R11">
        <v>0</v>
      </c>
      <c r="S11">
        <v>0</v>
      </c>
      <c r="T11">
        <v>2</v>
      </c>
      <c r="U11">
        <v>0</v>
      </c>
      <c r="V11">
        <v>0</v>
      </c>
      <c r="W11">
        <v>0</v>
      </c>
      <c r="X11">
        <v>0</v>
      </c>
      <c r="Y11">
        <v>0</v>
      </c>
      <c r="Z11">
        <v>3</v>
      </c>
      <c r="AA11">
        <v>0</v>
      </c>
      <c r="AB11">
        <v>5</v>
      </c>
      <c r="AC11">
        <v>-549</v>
      </c>
      <c r="AD11" s="3">
        <v>5</v>
      </c>
      <c r="AE11">
        <v>2</v>
      </c>
    </row>
    <row r="12" spans="1:31">
      <c r="A12" t="s">
        <v>12</v>
      </c>
      <c r="M12" s="2">
        <v>41596.666666666664</v>
      </c>
      <c r="N12">
        <v>12</v>
      </c>
      <c r="O12" t="s">
        <v>44</v>
      </c>
      <c r="P12">
        <v>90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7</v>
      </c>
      <c r="AA12">
        <v>0</v>
      </c>
      <c r="AB12">
        <v>17</v>
      </c>
      <c r="AC12">
        <v>-671</v>
      </c>
      <c r="AD12" s="3">
        <v>5</v>
      </c>
      <c r="AE12">
        <v>4</v>
      </c>
    </row>
    <row r="13" spans="1:31">
      <c r="A13" t="s">
        <v>13</v>
      </c>
      <c r="B13">
        <f>B3*B8*B9</f>
        <v>1.9200000000000004</v>
      </c>
      <c r="M13" s="2">
        <v>41602.53125</v>
      </c>
      <c r="N13">
        <v>13</v>
      </c>
      <c r="O13" t="s">
        <v>45</v>
      </c>
      <c r="P13">
        <v>90</v>
      </c>
      <c r="Q13">
        <v>0</v>
      </c>
      <c r="R13">
        <v>0</v>
      </c>
      <c r="S13">
        <v>0</v>
      </c>
      <c r="T13">
        <v>4</v>
      </c>
      <c r="U13">
        <v>0</v>
      </c>
      <c r="V13">
        <v>0</v>
      </c>
      <c r="W13">
        <v>0</v>
      </c>
      <c r="X13">
        <v>0</v>
      </c>
      <c r="Y13">
        <v>0</v>
      </c>
      <c r="Z13">
        <v>2</v>
      </c>
      <c r="AA13">
        <v>0</v>
      </c>
      <c r="AB13">
        <v>5</v>
      </c>
      <c r="AC13">
        <v>5279</v>
      </c>
      <c r="AD13" s="3">
        <v>5</v>
      </c>
      <c r="AE13">
        <v>0</v>
      </c>
    </row>
    <row r="14" spans="1:31">
      <c r="A14" t="s">
        <v>14</v>
      </c>
      <c r="B14">
        <f>B4*B7*B10</f>
        <v>2.88</v>
      </c>
      <c r="M14" s="2">
        <v>41605.822916666664</v>
      </c>
      <c r="N14">
        <v>14</v>
      </c>
      <c r="O14" t="s">
        <v>46</v>
      </c>
      <c r="P14">
        <v>90</v>
      </c>
      <c r="Q14">
        <v>0</v>
      </c>
      <c r="R14">
        <v>0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6</v>
      </c>
      <c r="AA14">
        <v>0</v>
      </c>
      <c r="AB14">
        <v>14</v>
      </c>
      <c r="AC14">
        <v>4293</v>
      </c>
      <c r="AD14" s="3">
        <v>5</v>
      </c>
      <c r="AE14">
        <v>8</v>
      </c>
    </row>
    <row r="15" spans="1:31">
      <c r="M15" s="2">
        <v>41610.666666666664</v>
      </c>
      <c r="N15">
        <v>15</v>
      </c>
      <c r="O15" t="s">
        <v>47</v>
      </c>
      <c r="P15">
        <v>90</v>
      </c>
      <c r="Q15">
        <v>0</v>
      </c>
      <c r="R15">
        <v>0</v>
      </c>
      <c r="S15">
        <v>0</v>
      </c>
      <c r="T15">
        <v>2</v>
      </c>
      <c r="U15">
        <v>0</v>
      </c>
      <c r="V15">
        <v>0</v>
      </c>
      <c r="W15">
        <v>0</v>
      </c>
      <c r="X15">
        <v>0</v>
      </c>
      <c r="Y15">
        <v>0</v>
      </c>
      <c r="Z15">
        <v>2</v>
      </c>
      <c r="AA15">
        <v>0</v>
      </c>
      <c r="AB15">
        <v>4</v>
      </c>
      <c r="AC15">
        <v>10233</v>
      </c>
      <c r="AD15" s="3">
        <v>5.0999999999999996</v>
      </c>
      <c r="AE15">
        <v>1</v>
      </c>
    </row>
    <row r="16" spans="1:31">
      <c r="A16" t="s">
        <v>15</v>
      </c>
      <c r="C16" s="9" t="s">
        <v>1</v>
      </c>
      <c r="D16" s="9"/>
      <c r="E16" s="9"/>
      <c r="F16" s="9"/>
      <c r="G16" s="9"/>
      <c r="H16" s="9"/>
      <c r="M16" s="2">
        <v>41616.625</v>
      </c>
      <c r="N16">
        <v>16</v>
      </c>
      <c r="O16" t="s">
        <v>48</v>
      </c>
      <c r="P16">
        <v>90</v>
      </c>
      <c r="Q16">
        <v>0</v>
      </c>
      <c r="R16">
        <v>0</v>
      </c>
      <c r="S16">
        <v>0</v>
      </c>
      <c r="T16">
        <v>3</v>
      </c>
      <c r="U16">
        <v>0</v>
      </c>
      <c r="V16">
        <v>0</v>
      </c>
      <c r="W16">
        <v>0</v>
      </c>
      <c r="X16">
        <v>0</v>
      </c>
      <c r="Y16">
        <v>0</v>
      </c>
      <c r="Z16">
        <v>2</v>
      </c>
      <c r="AA16">
        <v>0</v>
      </c>
      <c r="AB16">
        <v>4</v>
      </c>
      <c r="AC16">
        <v>12638</v>
      </c>
      <c r="AD16" s="3">
        <v>5.0999999999999996</v>
      </c>
      <c r="AE16">
        <v>1</v>
      </c>
    </row>
    <row r="17" spans="1:31">
      <c r="A17" s="1"/>
      <c r="B17" t="s">
        <v>16</v>
      </c>
      <c r="C17">
        <v>0</v>
      </c>
      <c r="D17">
        <v>1</v>
      </c>
      <c r="E17">
        <v>2</v>
      </c>
      <c r="F17">
        <v>3</v>
      </c>
      <c r="G17">
        <v>4</v>
      </c>
      <c r="H17">
        <v>5</v>
      </c>
      <c r="M17" s="2">
        <v>41619.822916666664</v>
      </c>
      <c r="N17">
        <v>16</v>
      </c>
      <c r="O17" t="s">
        <v>49</v>
      </c>
      <c r="P17">
        <v>90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2</v>
      </c>
      <c r="AA17">
        <v>0</v>
      </c>
      <c r="AB17">
        <v>18</v>
      </c>
      <c r="AC17">
        <v>12638</v>
      </c>
      <c r="AD17" s="3">
        <v>5.0999999999999996</v>
      </c>
      <c r="AE17">
        <v>6</v>
      </c>
    </row>
    <row r="18" spans="1:31">
      <c r="B18">
        <f>SUM(C18:H18)</f>
        <v>0.9861534547738493</v>
      </c>
      <c r="C18">
        <f t="shared" ref="C18:H18" si="0">POISSON(C17,$B$13,FALSE)</f>
        <v>0.14660696213035052</v>
      </c>
      <c r="D18">
        <f t="shared" si="0"/>
        <v>0.28148536729027301</v>
      </c>
      <c r="E18">
        <f t="shared" si="0"/>
        <v>0.27022595259866217</v>
      </c>
      <c r="F18">
        <f t="shared" si="0"/>
        <v>0.17294460966314382</v>
      </c>
      <c r="G18">
        <f t="shared" si="0"/>
        <v>8.3013412638309039E-2</v>
      </c>
      <c r="H18">
        <f t="shared" si="0"/>
        <v>3.1877150453110681E-2</v>
      </c>
      <c r="M18" s="2">
        <v>41623.625</v>
      </c>
      <c r="N18">
        <v>17</v>
      </c>
      <c r="O18" t="s">
        <v>50</v>
      </c>
      <c r="P18">
        <v>90</v>
      </c>
      <c r="Q18">
        <v>0</v>
      </c>
      <c r="R18">
        <v>0</v>
      </c>
      <c r="S18">
        <v>0</v>
      </c>
      <c r="T18">
        <v>3</v>
      </c>
      <c r="U18">
        <v>0</v>
      </c>
      <c r="V18">
        <v>0</v>
      </c>
      <c r="W18">
        <v>0</v>
      </c>
      <c r="X18">
        <v>0</v>
      </c>
      <c r="Y18">
        <v>0</v>
      </c>
      <c r="Z18">
        <v>2</v>
      </c>
      <c r="AA18">
        <v>0</v>
      </c>
      <c r="AB18">
        <v>4</v>
      </c>
      <c r="AC18">
        <v>-6788</v>
      </c>
      <c r="AD18" s="3">
        <v>5.0999999999999996</v>
      </c>
      <c r="AE18">
        <v>1</v>
      </c>
    </row>
    <row r="19" spans="1:31">
      <c r="C19" s="9" t="s">
        <v>0</v>
      </c>
      <c r="D19" s="9"/>
      <c r="E19" s="9"/>
      <c r="F19" s="9"/>
      <c r="G19" s="9"/>
      <c r="H19" s="9"/>
      <c r="M19" s="2">
        <v>41630.625</v>
      </c>
      <c r="N19">
        <v>18</v>
      </c>
      <c r="O19" t="s">
        <v>51</v>
      </c>
      <c r="P19">
        <v>90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3</v>
      </c>
      <c r="AA19">
        <v>0</v>
      </c>
      <c r="AB19">
        <v>19</v>
      </c>
      <c r="AC19">
        <v>-1139</v>
      </c>
      <c r="AD19" s="3">
        <v>5.0999999999999996</v>
      </c>
      <c r="AE19">
        <v>7</v>
      </c>
    </row>
    <row r="20" spans="1:31">
      <c r="C20">
        <v>0</v>
      </c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M20" s="2">
        <v>41634.625</v>
      </c>
      <c r="N20">
        <v>19</v>
      </c>
      <c r="O20" t="s">
        <v>52</v>
      </c>
      <c r="P20">
        <v>90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8</v>
      </c>
      <c r="AA20">
        <v>1</v>
      </c>
      <c r="AB20">
        <v>21</v>
      </c>
      <c r="AC20">
        <v>-654</v>
      </c>
      <c r="AD20" s="3">
        <v>5.0999999999999996</v>
      </c>
      <c r="AE20">
        <v>9</v>
      </c>
    </row>
    <row r="21" spans="1:31">
      <c r="B21">
        <f>SUM(C21:L21)</f>
        <v>0.99048683982124608</v>
      </c>
      <c r="C21">
        <f>POISSON(C20,$B$14,FALSE)</f>
        <v>5.6134762834134329E-2</v>
      </c>
      <c r="D21">
        <f t="shared" ref="D21:J21" si="1">POISSON(D20,$B$14,FALSE)</f>
        <v>0.16166811696230687</v>
      </c>
      <c r="E21">
        <f t="shared" si="1"/>
        <v>0.23280208842572189</v>
      </c>
      <c r="F21">
        <f t="shared" si="1"/>
        <v>0.223490004888693</v>
      </c>
      <c r="G21">
        <f t="shared" si="1"/>
        <v>0.16091280351985895</v>
      </c>
      <c r="H21">
        <f t="shared" si="1"/>
        <v>9.2685774827438741E-2</v>
      </c>
      <c r="I21">
        <f t="shared" si="1"/>
        <v>4.4489171917170597E-2</v>
      </c>
      <c r="J21">
        <f t="shared" si="1"/>
        <v>1.8304116445921618E-2</v>
      </c>
      <c r="M21" s="2">
        <v>41637.53125</v>
      </c>
      <c r="N21">
        <v>20</v>
      </c>
      <c r="O21" t="s">
        <v>53</v>
      </c>
      <c r="P21">
        <v>90</v>
      </c>
      <c r="Q21">
        <v>0</v>
      </c>
      <c r="R21">
        <v>0</v>
      </c>
      <c r="S21">
        <v>0</v>
      </c>
      <c r="T21">
        <v>2</v>
      </c>
      <c r="U21">
        <v>0</v>
      </c>
      <c r="V21">
        <v>0</v>
      </c>
      <c r="W21">
        <v>0</v>
      </c>
      <c r="X21">
        <v>0</v>
      </c>
      <c r="Y21">
        <v>0</v>
      </c>
      <c r="Z21">
        <v>7</v>
      </c>
      <c r="AA21">
        <v>0</v>
      </c>
      <c r="AB21">
        <v>8</v>
      </c>
      <c r="AC21">
        <v>5896</v>
      </c>
      <c r="AD21" s="3">
        <v>5.0999999999999996</v>
      </c>
      <c r="AE21">
        <v>3</v>
      </c>
    </row>
    <row r="22" spans="1:31">
      <c r="A22" s="1"/>
      <c r="M22" s="2">
        <v>41276.822916666664</v>
      </c>
      <c r="N22">
        <v>21</v>
      </c>
      <c r="O22" t="s">
        <v>54</v>
      </c>
      <c r="P22">
        <v>90</v>
      </c>
      <c r="Q22">
        <v>0</v>
      </c>
      <c r="R22">
        <v>0</v>
      </c>
      <c r="S22">
        <v>0</v>
      </c>
      <c r="T22">
        <v>3</v>
      </c>
      <c r="U22">
        <v>0</v>
      </c>
      <c r="V22">
        <v>0</v>
      </c>
      <c r="W22">
        <v>0</v>
      </c>
      <c r="X22">
        <v>0</v>
      </c>
      <c r="Y22">
        <v>0</v>
      </c>
      <c r="Z22">
        <v>7</v>
      </c>
      <c r="AA22">
        <v>0</v>
      </c>
      <c r="AB22">
        <v>7</v>
      </c>
      <c r="AC22">
        <v>10689</v>
      </c>
      <c r="AD22" s="3">
        <v>5.0999999999999996</v>
      </c>
      <c r="AE22">
        <v>3</v>
      </c>
    </row>
    <row r="23" spans="1:31">
      <c r="C23" s="9" t="s">
        <v>0</v>
      </c>
      <c r="D23" s="9"/>
      <c r="E23" s="9"/>
      <c r="F23" s="9"/>
      <c r="G23" s="9"/>
      <c r="H23" s="9"/>
      <c r="I23" s="9"/>
      <c r="J23" s="9"/>
      <c r="M23" s="2">
        <v>41286.625</v>
      </c>
      <c r="N23">
        <v>22</v>
      </c>
      <c r="O23" t="s">
        <v>55</v>
      </c>
      <c r="P23">
        <v>90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3</v>
      </c>
      <c r="AA23">
        <v>0</v>
      </c>
      <c r="AB23">
        <v>18</v>
      </c>
      <c r="AC23">
        <v>41733</v>
      </c>
      <c r="AD23" s="3">
        <v>5.2</v>
      </c>
      <c r="AE23">
        <v>7</v>
      </c>
    </row>
    <row r="24" spans="1:31">
      <c r="C24">
        <v>0</v>
      </c>
      <c r="D24">
        <v>1</v>
      </c>
      <c r="E24">
        <v>2</v>
      </c>
      <c r="F24">
        <v>3</v>
      </c>
      <c r="G24">
        <v>4</v>
      </c>
      <c r="H24">
        <v>5</v>
      </c>
      <c r="I24">
        <v>6</v>
      </c>
      <c r="J24">
        <v>7</v>
      </c>
      <c r="M24" s="2">
        <v>41293.625</v>
      </c>
      <c r="N24">
        <v>23</v>
      </c>
      <c r="O24" t="s">
        <v>56</v>
      </c>
      <c r="P24">
        <v>90</v>
      </c>
      <c r="Q24">
        <v>0</v>
      </c>
      <c r="R24">
        <v>0</v>
      </c>
      <c r="S24">
        <v>0</v>
      </c>
      <c r="T24">
        <v>2</v>
      </c>
      <c r="U24">
        <v>0</v>
      </c>
      <c r="V24">
        <v>0</v>
      </c>
      <c r="W24">
        <v>0</v>
      </c>
      <c r="X24">
        <v>0</v>
      </c>
      <c r="Y24">
        <v>0</v>
      </c>
      <c r="Z24">
        <v>5</v>
      </c>
      <c r="AA24">
        <v>0</v>
      </c>
      <c r="AB24">
        <v>15</v>
      </c>
      <c r="AC24">
        <v>23134</v>
      </c>
      <c r="AD24" s="3">
        <v>5.2</v>
      </c>
      <c r="AE24">
        <v>2</v>
      </c>
    </row>
    <row r="25" spans="1:31">
      <c r="A25" s="10" t="s">
        <v>1</v>
      </c>
      <c r="B25">
        <v>0</v>
      </c>
      <c r="C25">
        <f t="shared" ref="C25:J25" si="2">$C$18*C21</f>
        <v>8.2297470490201394E-3</v>
      </c>
      <c r="D25">
        <f t="shared" si="2"/>
        <v>2.3701671501178002E-2</v>
      </c>
      <c r="E25">
        <f t="shared" si="2"/>
        <v>3.4130406961696322E-2</v>
      </c>
      <c r="F25">
        <f t="shared" si="2"/>
        <v>3.2765190683228466E-2</v>
      </c>
      <c r="G25">
        <f t="shared" si="2"/>
        <v>2.3590937291924494E-2</v>
      </c>
      <c r="H25">
        <f t="shared" si="2"/>
        <v>1.3588379880148507E-2</v>
      </c>
      <c r="I25">
        <f t="shared" si="2"/>
        <v>6.522422342471283E-3</v>
      </c>
      <c r="J25">
        <f t="shared" si="2"/>
        <v>2.6835109066167566E-3</v>
      </c>
      <c r="K25">
        <f t="shared" ref="K25:K30" si="3">SUM(C25:J25)</f>
        <v>0.14521226661628395</v>
      </c>
      <c r="M25" s="2">
        <v>41303.822916666664</v>
      </c>
      <c r="N25">
        <v>24</v>
      </c>
      <c r="O25" t="s">
        <v>57</v>
      </c>
      <c r="P25">
        <v>90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4</v>
      </c>
      <c r="AA25">
        <v>0</v>
      </c>
      <c r="AB25">
        <v>11</v>
      </c>
      <c r="AC25">
        <v>22107</v>
      </c>
      <c r="AD25" s="3">
        <v>5.3</v>
      </c>
      <c r="AE25">
        <v>7</v>
      </c>
    </row>
    <row r="26" spans="1:31">
      <c r="A26" s="10"/>
      <c r="B26">
        <v>1</v>
      </c>
      <c r="C26">
        <f>D18*$C$21</f>
        <v>1.5801114334118668E-2</v>
      </c>
      <c r="D26">
        <f>D18*D21</f>
        <v>4.5507209282261769E-2</v>
      </c>
      <c r="E26">
        <f>E21*D18</f>
        <v>6.5530381366456947E-2</v>
      </c>
      <c r="F26">
        <f>$D$18*F21</f>
        <v>6.2909166111798656E-2</v>
      </c>
      <c r="G26">
        <f>$D$18*G21</f>
        <v>4.5294599600495034E-2</v>
      </c>
      <c r="H26">
        <f>$D$18*H21</f>
        <v>2.6089689369885136E-2</v>
      </c>
      <c r="I26">
        <f>$D$18*I21</f>
        <v>1.2523050897544866E-2</v>
      </c>
      <c r="J26">
        <f>$D$18*J21</f>
        <v>5.1523409407041735E-3</v>
      </c>
      <c r="K26">
        <f t="shared" si="3"/>
        <v>0.27880755190326523</v>
      </c>
      <c r="M26" s="2">
        <v>41307.625</v>
      </c>
      <c r="N26">
        <v>25</v>
      </c>
      <c r="O26" t="s">
        <v>58</v>
      </c>
      <c r="P26">
        <v>90</v>
      </c>
      <c r="Q26">
        <v>0</v>
      </c>
      <c r="R26">
        <v>0</v>
      </c>
      <c r="S26">
        <v>0</v>
      </c>
      <c r="T26">
        <v>2</v>
      </c>
      <c r="U26">
        <v>0</v>
      </c>
      <c r="V26">
        <v>0</v>
      </c>
      <c r="W26">
        <v>0</v>
      </c>
      <c r="X26">
        <v>0</v>
      </c>
      <c r="Y26">
        <v>0</v>
      </c>
      <c r="Z26">
        <v>2</v>
      </c>
      <c r="AA26">
        <v>0</v>
      </c>
      <c r="AB26">
        <v>6</v>
      </c>
      <c r="AC26">
        <v>37584</v>
      </c>
      <c r="AD26" s="3">
        <v>5.3</v>
      </c>
      <c r="AE26">
        <v>1</v>
      </c>
    </row>
    <row r="27" spans="1:31">
      <c r="A27" s="10"/>
      <c r="B27">
        <v>2</v>
      </c>
      <c r="C27">
        <f>E18*$C$21</f>
        <v>1.5169069760753925E-2</v>
      </c>
      <c r="D27">
        <f>E18*D21</f>
        <v>4.3686920910971309E-2</v>
      </c>
      <c r="E27">
        <f>E18*E21</f>
        <v>6.2909166111798684E-2</v>
      </c>
      <c r="F27">
        <f>$E$18*F21</f>
        <v>6.039279946732673E-2</v>
      </c>
      <c r="G27">
        <f>$E$18*G21</f>
        <v>4.3482815616475247E-2</v>
      </c>
      <c r="H27">
        <f>$E$18*H21</f>
        <v>2.5046101795089735E-2</v>
      </c>
      <c r="I27">
        <f>$E$18*I21</f>
        <v>1.2022128861643075E-2</v>
      </c>
      <c r="J27">
        <f>$E$18*J21</f>
        <v>4.9462473030760078E-3</v>
      </c>
      <c r="K27">
        <f t="shared" si="3"/>
        <v>0.26765524982713473</v>
      </c>
      <c r="M27" s="2">
        <v>41314.625</v>
      </c>
      <c r="N27">
        <v>26</v>
      </c>
      <c r="O27" t="s">
        <v>59</v>
      </c>
      <c r="P27">
        <v>90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7</v>
      </c>
      <c r="AA27">
        <v>0</v>
      </c>
      <c r="AB27">
        <v>6</v>
      </c>
      <c r="AC27">
        <v>-2477</v>
      </c>
      <c r="AD27" s="3">
        <v>5.4</v>
      </c>
      <c r="AE27">
        <v>4</v>
      </c>
    </row>
    <row r="28" spans="1:31">
      <c r="A28" s="10"/>
      <c r="B28">
        <v>3</v>
      </c>
      <c r="C28">
        <f t="shared" ref="C28:J28" si="4">$F$18*C21</f>
        <v>9.7082046468825144E-3</v>
      </c>
      <c r="D28">
        <f t="shared" si="4"/>
        <v>2.7959629383021642E-2</v>
      </c>
      <c r="E28">
        <f t="shared" si="4"/>
        <v>4.0261866311551167E-2</v>
      </c>
      <c r="F28">
        <f t="shared" si="4"/>
        <v>3.8651391659089117E-2</v>
      </c>
      <c r="G28">
        <f t="shared" si="4"/>
        <v>2.7829001994544161E-2</v>
      </c>
      <c r="H28">
        <f t="shared" si="4"/>
        <v>1.6029505148857433E-2</v>
      </c>
      <c r="I28">
        <f t="shared" si="4"/>
        <v>7.6941624714515688E-3</v>
      </c>
      <c r="J28">
        <f t="shared" si="4"/>
        <v>3.1655982739686454E-3</v>
      </c>
      <c r="K28">
        <f t="shared" si="3"/>
        <v>0.17129935988936626</v>
      </c>
      <c r="M28" s="2">
        <v>41328.625</v>
      </c>
      <c r="N28">
        <v>27</v>
      </c>
      <c r="O28" t="s">
        <v>60</v>
      </c>
      <c r="P28">
        <v>90</v>
      </c>
      <c r="Q28">
        <v>0</v>
      </c>
      <c r="R28">
        <v>0</v>
      </c>
      <c r="S28">
        <v>0</v>
      </c>
      <c r="T28">
        <v>2</v>
      </c>
      <c r="U28">
        <v>0</v>
      </c>
      <c r="V28">
        <v>0</v>
      </c>
      <c r="W28">
        <v>0</v>
      </c>
      <c r="X28">
        <v>0</v>
      </c>
      <c r="Y28">
        <v>0</v>
      </c>
      <c r="Z28">
        <v>4</v>
      </c>
      <c r="AA28">
        <v>0</v>
      </c>
      <c r="AB28">
        <v>6</v>
      </c>
      <c r="AC28">
        <v>12838</v>
      </c>
      <c r="AD28" s="3">
        <v>5.4</v>
      </c>
      <c r="AE28">
        <v>2</v>
      </c>
    </row>
    <row r="29" spans="1:31">
      <c r="A29" s="10"/>
      <c r="B29">
        <v>4</v>
      </c>
      <c r="C29">
        <f t="shared" ref="C29:J29" si="5">$G$18*C21</f>
        <v>4.6599382305036073E-3</v>
      </c>
      <c r="D29">
        <f t="shared" si="5"/>
        <v>1.342062210385039E-2</v>
      </c>
      <c r="E29">
        <f t="shared" si="5"/>
        <v>1.9325695829544562E-2</v>
      </c>
      <c r="F29">
        <f t="shared" si="5"/>
        <v>1.8552667996362775E-2</v>
      </c>
      <c r="G29">
        <f t="shared" si="5"/>
        <v>1.3357920957381199E-2</v>
      </c>
      <c r="H29">
        <f t="shared" si="5"/>
        <v>7.6941624714515688E-3</v>
      </c>
      <c r="I29">
        <f t="shared" si="5"/>
        <v>3.6931979862967531E-3</v>
      </c>
      <c r="J29">
        <f t="shared" si="5"/>
        <v>1.5194871715049499E-3</v>
      </c>
      <c r="K29">
        <f t="shared" si="3"/>
        <v>8.2223692746895796E-2</v>
      </c>
      <c r="M29" s="2">
        <v>41335.625</v>
      </c>
      <c r="N29">
        <v>28</v>
      </c>
      <c r="O29" t="s">
        <v>61</v>
      </c>
      <c r="P29">
        <v>90</v>
      </c>
      <c r="Q29">
        <v>0</v>
      </c>
      <c r="R29">
        <v>0</v>
      </c>
      <c r="S29">
        <v>0</v>
      </c>
      <c r="T29">
        <v>2</v>
      </c>
      <c r="U29">
        <v>0</v>
      </c>
      <c r="V29">
        <v>0</v>
      </c>
      <c r="W29">
        <v>0</v>
      </c>
      <c r="X29">
        <v>0</v>
      </c>
      <c r="Y29">
        <v>0</v>
      </c>
      <c r="Z29">
        <v>3</v>
      </c>
      <c r="AA29">
        <v>0</v>
      </c>
      <c r="AB29">
        <v>7</v>
      </c>
      <c r="AC29">
        <v>4144</v>
      </c>
      <c r="AD29" s="3">
        <v>5.4</v>
      </c>
      <c r="AE29">
        <v>2</v>
      </c>
    </row>
    <row r="30" spans="1:31">
      <c r="A30" s="10"/>
      <c r="B30">
        <v>5</v>
      </c>
      <c r="C30">
        <f t="shared" ref="C30:J30" si="6">$H$18*C21</f>
        <v>1.7894162805133858E-3</v>
      </c>
      <c r="D30">
        <f t="shared" si="6"/>
        <v>5.1535188878785512E-3</v>
      </c>
      <c r="E30">
        <f t="shared" si="6"/>
        <v>7.4210671985451135E-3</v>
      </c>
      <c r="F30">
        <f t="shared" si="6"/>
        <v>7.1242245106033081E-3</v>
      </c>
      <c r="G30">
        <f t="shared" si="6"/>
        <v>5.1294416476343821E-3</v>
      </c>
      <c r="H30">
        <f t="shared" si="6"/>
        <v>2.9545583890374033E-3</v>
      </c>
      <c r="I30">
        <f t="shared" si="6"/>
        <v>1.4181880267379538E-3</v>
      </c>
      <c r="J30">
        <f t="shared" si="6"/>
        <v>5.8348307385790101E-4</v>
      </c>
      <c r="K30">
        <f t="shared" si="3"/>
        <v>3.1573898014807998E-2</v>
      </c>
      <c r="M30" s="2">
        <v>41342.625</v>
      </c>
      <c r="N30">
        <v>29</v>
      </c>
      <c r="O30" t="s">
        <v>62</v>
      </c>
      <c r="P30">
        <v>90</v>
      </c>
      <c r="Q30">
        <v>0</v>
      </c>
      <c r="R30">
        <v>0</v>
      </c>
      <c r="S30">
        <v>0</v>
      </c>
      <c r="T30">
        <v>3</v>
      </c>
      <c r="U30">
        <v>0</v>
      </c>
      <c r="V30">
        <v>0</v>
      </c>
      <c r="W30">
        <v>0</v>
      </c>
      <c r="X30">
        <v>0</v>
      </c>
      <c r="Y30">
        <v>0</v>
      </c>
      <c r="Z30">
        <v>3</v>
      </c>
      <c r="AA30">
        <v>0</v>
      </c>
      <c r="AB30">
        <v>6</v>
      </c>
      <c r="AC30">
        <v>11428</v>
      </c>
      <c r="AD30" s="3">
        <v>5.4</v>
      </c>
      <c r="AE30">
        <v>2</v>
      </c>
    </row>
    <row r="31" spans="1:31">
      <c r="K31">
        <f>SUM(K25:K30)</f>
        <v>0.97677201899775401</v>
      </c>
      <c r="M31" s="2">
        <v>41350.5625</v>
      </c>
      <c r="N31">
        <v>30</v>
      </c>
      <c r="O31" t="s">
        <v>63</v>
      </c>
      <c r="P31">
        <v>90</v>
      </c>
      <c r="Q31">
        <v>0</v>
      </c>
      <c r="R31">
        <v>0</v>
      </c>
      <c r="S31">
        <v>0</v>
      </c>
      <c r="T31">
        <v>1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7</v>
      </c>
      <c r="AC31">
        <v>967</v>
      </c>
      <c r="AD31" s="3">
        <v>5.4</v>
      </c>
      <c r="AE31">
        <v>2</v>
      </c>
    </row>
    <row r="32" spans="1:31">
      <c r="A32" t="s">
        <v>17</v>
      </c>
      <c r="B32">
        <f>SUM(D25:J25,E26:J26,F27:J27,G28:J28,H29:J29,I30:J30)</f>
        <v>0.5699986275164306</v>
      </c>
      <c r="M32" s="2">
        <v>41363.53125</v>
      </c>
      <c r="N32">
        <v>31</v>
      </c>
      <c r="O32" t="s">
        <v>64</v>
      </c>
      <c r="P32">
        <v>90</v>
      </c>
      <c r="Q32">
        <v>0</v>
      </c>
      <c r="R32">
        <v>0</v>
      </c>
      <c r="S32">
        <v>0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6</v>
      </c>
      <c r="AA32">
        <v>0</v>
      </c>
      <c r="AB32">
        <v>7</v>
      </c>
      <c r="AC32">
        <v>-14442</v>
      </c>
      <c r="AD32" s="3">
        <v>5.4</v>
      </c>
      <c r="AE32">
        <v>4</v>
      </c>
    </row>
    <row r="33" spans="1:30">
      <c r="A33" t="s">
        <v>18</v>
      </c>
      <c r="B33">
        <f>SUM(C25:J25)</f>
        <v>0.14521226661628395</v>
      </c>
      <c r="V33">
        <v>0</v>
      </c>
      <c r="X33">
        <v>0</v>
      </c>
      <c r="Y33">
        <v>0</v>
      </c>
      <c r="Z33">
        <f>(SUM(Z2:Z32)/COUNT(Z2:Z32))</f>
        <v>3.903225806451613</v>
      </c>
      <c r="AA33">
        <f>(SUM(AA2:AA32)/COUNT(AA2:AA32))</f>
        <v>6.4516129032258063E-2</v>
      </c>
    </row>
    <row r="34" spans="1:30">
      <c r="A34" t="s">
        <v>19</v>
      </c>
      <c r="B34">
        <f>SUM(C26:C30,D27:D30,E28:E30,F29:F30,G29)</f>
        <v>0.24339187734248208</v>
      </c>
      <c r="U34">
        <f>CORREL(T2:T32, Z2:Z32)</f>
        <v>-0.12832925531043832</v>
      </c>
      <c r="Z34">
        <f>Z33*0.333333333</f>
        <v>1.301075267516129</v>
      </c>
    </row>
    <row r="35" spans="1:30">
      <c r="A35" t="s">
        <v>20</v>
      </c>
      <c r="B35">
        <f>SUM(C25:C30)</f>
        <v>5.5357490301792232E-2</v>
      </c>
    </row>
    <row r="36" spans="1:30">
      <c r="A36" t="s">
        <v>23</v>
      </c>
      <c r="B36">
        <f>SUM(C25,D26,E27,F28,G29,H30)</f>
        <v>0.17160999344858832</v>
      </c>
      <c r="R36" s="4">
        <v>8.2297470490201394E-3</v>
      </c>
      <c r="S36" s="4">
        <v>2.3701671501178002E-2</v>
      </c>
      <c r="T36" s="4">
        <v>3.4130406961696322E-2</v>
      </c>
      <c r="U36" s="4">
        <v>3.2765190683228466E-2</v>
      </c>
      <c r="V36" s="4">
        <v>2.3590937291924494E-2</v>
      </c>
      <c r="W36" s="4">
        <v>1.3588379880148507E-2</v>
      </c>
      <c r="X36" s="4"/>
      <c r="Y36" s="4"/>
      <c r="Z36">
        <f>SUM(R36:Y36)</f>
        <v>0.13600633336719592</v>
      </c>
      <c r="AA36" s="4">
        <v>4</v>
      </c>
      <c r="AB36">
        <f>Z36*AA36</f>
        <v>0.54402533346878368</v>
      </c>
    </row>
    <row r="37" spans="1:30">
      <c r="A37" t="s">
        <v>21</v>
      </c>
      <c r="B37" t="s">
        <v>22</v>
      </c>
      <c r="R37">
        <v>1.5801114334118668E-2</v>
      </c>
      <c r="S37">
        <v>4.5507209282261769E-2</v>
      </c>
      <c r="T37">
        <v>6.5530381366456947E-2</v>
      </c>
      <c r="U37">
        <v>6.2909166111798656E-2</v>
      </c>
      <c r="V37">
        <v>4.5294599600495034E-2</v>
      </c>
      <c r="W37">
        <v>2.6089689369885136E-2</v>
      </c>
      <c r="Z37">
        <f>SUM(R37:Y37)</f>
        <v>0.26113216006501622</v>
      </c>
      <c r="AA37">
        <v>0</v>
      </c>
    </row>
    <row r="38" spans="1:30">
      <c r="R38" s="5">
        <v>1.5169069760753925E-2</v>
      </c>
      <c r="S38" s="5">
        <v>4.3686920910971309E-2</v>
      </c>
      <c r="T38" s="5">
        <v>6.2909166111798684E-2</v>
      </c>
      <c r="U38" s="5">
        <v>6.039279946732673E-2</v>
      </c>
      <c r="V38" s="5">
        <v>4.3482815616475247E-2</v>
      </c>
      <c r="W38" s="5">
        <v>2.5046101795089735E-2</v>
      </c>
      <c r="X38" s="5"/>
      <c r="Y38" s="5"/>
    </row>
    <row r="39" spans="1:30">
      <c r="R39" s="5">
        <v>9.7082046468825144E-3</v>
      </c>
      <c r="S39" s="5">
        <v>2.7959629383021642E-2</v>
      </c>
      <c r="T39" s="5">
        <v>4.0261866311551167E-2</v>
      </c>
      <c r="U39" s="5">
        <v>3.8651391659089117E-2</v>
      </c>
      <c r="V39" s="5">
        <v>2.7829001994544161E-2</v>
      </c>
      <c r="W39" s="5">
        <v>1.6029505148857433E-2</v>
      </c>
      <c r="X39" s="5"/>
      <c r="Y39" s="5"/>
      <c r="Z39">
        <f>SUM(R38:Y38)+SUM(R39:Y39)</f>
        <v>0.41112647280636172</v>
      </c>
      <c r="AA39" s="5">
        <v>-1</v>
      </c>
      <c r="AB39">
        <f>Z39*AA39</f>
        <v>-0.41112647280636172</v>
      </c>
    </row>
    <row r="40" spans="1:30">
      <c r="R40" s="6">
        <v>4.6599382305036073E-3</v>
      </c>
      <c r="S40" s="6">
        <v>1.342062210385039E-2</v>
      </c>
      <c r="T40" s="6">
        <v>1.9325695829544562E-2</v>
      </c>
      <c r="U40" s="6">
        <v>1.8552667996362775E-2</v>
      </c>
      <c r="V40" s="6">
        <v>1.3357920957381199E-2</v>
      </c>
      <c r="W40" s="6">
        <v>7.6941624714515688E-3</v>
      </c>
      <c r="X40" s="6"/>
      <c r="Y40" s="6"/>
    </row>
    <row r="41" spans="1:30">
      <c r="R41" s="6">
        <v>1.7894162805133858E-3</v>
      </c>
      <c r="S41" s="6">
        <v>5.1535188878785512E-3</v>
      </c>
      <c r="T41" s="6">
        <v>7.4210671985451135E-3</v>
      </c>
      <c r="U41" s="6">
        <v>7.1242245106033081E-3</v>
      </c>
      <c r="V41" s="6">
        <v>5.1294416476343821E-3</v>
      </c>
      <c r="W41" s="6">
        <v>2.9545583890374033E-3</v>
      </c>
      <c r="X41" s="6"/>
      <c r="Y41" s="6"/>
      <c r="Z41">
        <f>SUM(R40:Y40)+SUM(R41:Y41)</f>
        <v>0.10658323450330624</v>
      </c>
      <c r="AA41" s="6">
        <v>-1</v>
      </c>
      <c r="AB41">
        <f>Z41*AA41</f>
        <v>-0.10658323450330624</v>
      </c>
    </row>
    <row r="42" spans="1:30">
      <c r="R42">
        <f>SUM(R36:R41)</f>
        <v>5.5357490301792232E-2</v>
      </c>
      <c r="U42">
        <f>SUM(T36:U41)</f>
        <v>0.44997402420800187</v>
      </c>
      <c r="W42">
        <f>SUM(V36:W41)</f>
        <v>0.25008711416292428</v>
      </c>
      <c r="X42">
        <f>SUM(R42:W42)</f>
        <v>0.75541862867271836</v>
      </c>
      <c r="Z42">
        <f>SUM(Z36:Z41)</f>
        <v>0.91484820074188011</v>
      </c>
      <c r="AB42">
        <f>SUM(AB36:AB41)</f>
        <v>2.6315626159115715E-2</v>
      </c>
    </row>
    <row r="43" spans="1:30">
      <c r="R43">
        <f>R42*4</f>
        <v>0.22142996120716893</v>
      </c>
      <c r="U43">
        <f>U42*-1</f>
        <v>-0.44997402420800187</v>
      </c>
      <c r="W43">
        <f>W42*-1</f>
        <v>-0.25008711416292428</v>
      </c>
      <c r="X43">
        <f>SUM(R43:W43)</f>
        <v>-0.47863117716375725</v>
      </c>
      <c r="AC43" t="s">
        <v>81</v>
      </c>
      <c r="AD43">
        <f>AB42+Z34+AA33</f>
        <v>1.3919070227075028</v>
      </c>
    </row>
    <row r="44" spans="1:30">
      <c r="U44">
        <f>SUM(R43:U43)</f>
        <v>-0.22854406300083294</v>
      </c>
      <c r="W44">
        <f>SUM(R43:W43)</f>
        <v>-0.47863117716375725</v>
      </c>
    </row>
    <row r="45" spans="1:30">
      <c r="T45">
        <f>SUM(T36:T41)</f>
        <v>0.22957858377959281</v>
      </c>
      <c r="V45">
        <f>SUM(V36:V41)</f>
        <v>0.1586847171084545</v>
      </c>
    </row>
    <row r="46" spans="1:30">
      <c r="T46">
        <f>T45*-1</f>
        <v>-0.22957858377959281</v>
      </c>
      <c r="V46">
        <f>V45*-1</f>
        <v>-0.1586847171084545</v>
      </c>
    </row>
    <row r="47" spans="1:30">
      <c r="T47">
        <f>T46+R43</f>
        <v>-8.1486225724238803E-3</v>
      </c>
      <c r="V47">
        <f>V46+U43+R43</f>
        <v>-0.38722878010928741</v>
      </c>
    </row>
  </sheetData>
  <mergeCells count="4">
    <mergeCell ref="C16:H16"/>
    <mergeCell ref="C19:H19"/>
    <mergeCell ref="C23:J23"/>
    <mergeCell ref="A25:A3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Maloney</vt:lpstr>
      <vt:lpstr>Figueroa</vt:lpstr>
      <vt:lpstr>AlHabsi</vt:lpstr>
      <vt:lpstr>Four games</vt:lpstr>
      <vt:lpstr>Three games</vt:lpstr>
      <vt:lpstr>Average Goals Calc</vt:lpstr>
      <vt:lpstr>Six Games</vt:lpstr>
      <vt:lpstr>Mignolet Points</vt:lpstr>
    </vt:vector>
  </TitlesOfParts>
  <Company>WTG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Waugh</dc:creator>
  <cp:lastModifiedBy>Douglas Waugh</cp:lastModifiedBy>
  <dcterms:created xsi:type="dcterms:W3CDTF">2013-03-12T19:08:21Z</dcterms:created>
  <dcterms:modified xsi:type="dcterms:W3CDTF">2013-05-12T14:12:35Z</dcterms:modified>
</cp:coreProperties>
</file>