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pologistics-my.sharepoint.com/personal/douglas_terc_xpo_com/Documents/Other/"/>
    </mc:Choice>
  </mc:AlternateContent>
  <xr:revisionPtr revIDLastSave="0" documentId="8_{7034C280-AFD9-415E-8846-5CCC1F4021BD}" xr6:coauthVersionLast="47" xr6:coauthVersionMax="47" xr10:uidLastSave="{00000000-0000-0000-0000-000000000000}"/>
  <bookViews>
    <workbookView xWindow="-120" yWindow="-120" windowWidth="29040" windowHeight="15840" activeTab="1" xr2:uid="{ADF9E1FA-A332-4F74-97ED-44A1D42479C6}"/>
  </bookViews>
  <sheets>
    <sheet name="TABLE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8" i="2"/>
  <c r="H4" i="2"/>
  <c r="H9" i="2"/>
  <c r="H6" i="2"/>
  <c r="H7" i="2" s="1"/>
  <c r="H8" i="2" s="1"/>
  <c r="E9" i="2"/>
  <c r="E6" i="2"/>
  <c r="E7" i="2" s="1"/>
  <c r="E8" i="2" s="1"/>
  <c r="E4" i="2"/>
  <c r="G3" i="2"/>
  <c r="B12" i="2"/>
  <c r="B11" i="2"/>
  <c r="B10" i="2"/>
  <c r="B9" i="2"/>
  <c r="B8" i="2"/>
  <c r="B7" i="2"/>
  <c r="B6" i="2"/>
  <c r="B5" i="2"/>
  <c r="I5" i="2" s="1"/>
  <c r="J5" i="2" s="1"/>
  <c r="B4" i="2"/>
  <c r="B3" i="2"/>
  <c r="I3" i="2" s="1"/>
  <c r="J3" i="2" s="1"/>
  <c r="A12" i="2"/>
  <c r="A11" i="2"/>
  <c r="A10" i="2"/>
  <c r="A9" i="2"/>
  <c r="A8" i="2"/>
  <c r="A7" i="2"/>
  <c r="A6" i="2"/>
  <c r="A5" i="2"/>
  <c r="A4" i="2"/>
  <c r="A3" i="2"/>
  <c r="B78" i="1"/>
  <c r="A79" i="1" s="1"/>
  <c r="A77" i="1"/>
  <c r="B70" i="1"/>
  <c r="A71" i="1" s="1"/>
  <c r="A69" i="1"/>
  <c r="B62" i="1"/>
  <c r="A63" i="1" s="1"/>
  <c r="A61" i="1"/>
  <c r="B54" i="1"/>
  <c r="A55" i="1" s="1"/>
  <c r="A53" i="1"/>
  <c r="B46" i="1"/>
  <c r="A47" i="1" s="1"/>
  <c r="A45" i="1"/>
  <c r="B38" i="1"/>
  <c r="A39" i="1"/>
  <c r="A37" i="1"/>
  <c r="B30" i="1"/>
  <c r="A31" i="1" s="1"/>
  <c r="A29" i="1"/>
  <c r="A23" i="1"/>
  <c r="A21" i="1"/>
  <c r="B14" i="1"/>
  <c r="A15" i="1"/>
  <c r="A13" i="1"/>
  <c r="A7" i="1"/>
  <c r="A5" i="1"/>
  <c r="E10" i="2" l="1"/>
  <c r="H10" i="2"/>
  <c r="I6" i="2"/>
  <c r="J6" i="2" s="1"/>
  <c r="I9" i="2"/>
  <c r="J9" i="2" s="1"/>
  <c r="I7" i="2"/>
  <c r="J7" i="2" s="1"/>
  <c r="I4" i="2"/>
  <c r="G8" i="2"/>
  <c r="F7" i="2"/>
  <c r="G7" i="2" s="1"/>
  <c r="F6" i="2"/>
  <c r="G6" i="2" s="1"/>
  <c r="I8" i="2"/>
  <c r="J8" i="2" s="1"/>
  <c r="F5" i="2"/>
  <c r="G5" i="2" s="1"/>
  <c r="F4" i="2"/>
  <c r="F3" i="2"/>
  <c r="F9" i="2"/>
  <c r="G9" i="2" s="1"/>
  <c r="F10" i="2" l="1"/>
  <c r="G10" i="2" s="1"/>
  <c r="E11" i="2"/>
  <c r="I10" i="2"/>
  <c r="J10" i="2" s="1"/>
  <c r="H11" i="2"/>
  <c r="J4" i="2"/>
  <c r="G4" i="2"/>
  <c r="F11" i="2" l="1"/>
  <c r="G11" i="2" s="1"/>
  <c r="E12" i="2"/>
  <c r="G12" i="2" s="1"/>
  <c r="I11" i="2"/>
  <c r="J11" i="2" s="1"/>
  <c r="H12" i="2"/>
  <c r="I12" i="2" s="1"/>
  <c r="J12" i="2" s="1"/>
  <c r="I14" i="2" l="1"/>
  <c r="J14" i="2" s="1"/>
  <c r="F14" i="2"/>
  <c r="G14" i="2" s="1"/>
</calcChain>
</file>

<file path=xl/sharedStrings.xml><?xml version="1.0" encoding="utf-8"?>
<sst xmlns="http://schemas.openxmlformats.org/spreadsheetml/2006/main" count="201" uniqueCount="103">
  <si>
    <t>SCREENER</t>
  </si>
  <si>
    <t>ticker</t>
  </si>
  <si>
    <t>exchange</t>
  </si>
  <si>
    <t>company</t>
  </si>
  <si>
    <t>sector</t>
  </si>
  <si>
    <t>industry</t>
  </si>
  <si>
    <t>country</t>
  </si>
  <si>
    <t>date_updated</t>
  </si>
  <si>
    <t>active</t>
  </si>
  <si>
    <t>VARCHAR(10)</t>
  </si>
  <si>
    <t>VARCHAR(255)</t>
  </si>
  <si>
    <t>VARCHAR(125)</t>
  </si>
  <si>
    <t>VARCHAR(50)</t>
  </si>
  <si>
    <t>DATETIME</t>
  </si>
  <si>
    <t>BOOLEAN</t>
  </si>
  <si>
    <t>Rows:</t>
  </si>
  <si>
    <t>HIST_DATA</t>
  </si>
  <si>
    <t>hd_id</t>
  </si>
  <si>
    <t>refdate</t>
  </si>
  <si>
    <t>o_price</t>
  </si>
  <si>
    <t>h_price</t>
  </si>
  <si>
    <t>l_price</t>
  </si>
  <si>
    <t>c_price</t>
  </si>
  <si>
    <t>a_price</t>
  </si>
  <si>
    <t>c_return</t>
  </si>
  <si>
    <t>a_return</t>
  </si>
  <si>
    <t>volume</t>
  </si>
  <si>
    <t>BIGINT</t>
  </si>
  <si>
    <t>DATE</t>
  </si>
  <si>
    <t>FLOAT</t>
  </si>
  <si>
    <t>INT</t>
  </si>
  <si>
    <t>USER</t>
  </si>
  <si>
    <t>user_id</t>
  </si>
  <si>
    <t>user_first</t>
  </si>
  <si>
    <t>user_last</t>
  </si>
  <si>
    <t>user_email</t>
  </si>
  <si>
    <t>user_phone</t>
  </si>
  <si>
    <t>VARCHAR(20)</t>
  </si>
  <si>
    <t>user_address</t>
  </si>
  <si>
    <t>user_city</t>
  </si>
  <si>
    <t>user_state</t>
  </si>
  <si>
    <t>user_country</t>
  </si>
  <si>
    <t>VARCHAR(5)</t>
  </si>
  <si>
    <t>PORTFOLIO</t>
  </si>
  <si>
    <t>port_id</t>
  </si>
  <si>
    <t>port_name</t>
  </si>
  <si>
    <t>date_opened</t>
  </si>
  <si>
    <t>date_closed</t>
  </si>
  <si>
    <t>Assume:</t>
  </si>
  <si>
    <t>1,000 users</t>
  </si>
  <si>
    <t>500 historical data points per stock in SCREENER</t>
  </si>
  <si>
    <t>3 portfolios (on average) per user in USER</t>
  </si>
  <si>
    <t>WATCHLIST</t>
  </si>
  <si>
    <t>3 watchlists (on average) per portfolio in PORTFOLIO</t>
  </si>
  <si>
    <t>watch_id</t>
  </si>
  <si>
    <t>watch_name</t>
  </si>
  <si>
    <t>WL_ENTITIES</t>
  </si>
  <si>
    <t>50 entities (on average) per watch list in WATCHLIST</t>
  </si>
  <si>
    <t>wl_ent_id</t>
  </si>
  <si>
    <t>SECURE</t>
  </si>
  <si>
    <t>10 password records for each user in USER</t>
  </si>
  <si>
    <t>secure_id</t>
  </si>
  <si>
    <t>pswd</t>
  </si>
  <si>
    <t>date_set</t>
  </si>
  <si>
    <t>date_exp</t>
  </si>
  <si>
    <t>POSITIONS</t>
  </si>
  <si>
    <t>pos_id</t>
  </si>
  <si>
    <t>shares</t>
  </si>
  <si>
    <t>cost</t>
  </si>
  <si>
    <t>enter_date</t>
  </si>
  <si>
    <t>close_date</t>
  </si>
  <si>
    <t>broker_site</t>
  </si>
  <si>
    <t>pos_type</t>
  </si>
  <si>
    <t>500 positions per portfolio in PORTFOLIO</t>
  </si>
  <si>
    <t>TRADE</t>
  </si>
  <si>
    <t>5 trades per position in POSITIONS</t>
  </si>
  <si>
    <t>trade_id</t>
  </si>
  <si>
    <t>trade_price</t>
  </si>
  <si>
    <t>trade_date</t>
  </si>
  <si>
    <t>trade_type</t>
  </si>
  <si>
    <t>DECIMAL(10,5)</t>
  </si>
  <si>
    <t>RESEARCH</t>
  </si>
  <si>
    <t>res_id</t>
  </si>
  <si>
    <t>target_price</t>
  </si>
  <si>
    <t>target_shares</t>
  </si>
  <si>
    <t>buy_sell</t>
  </si>
  <si>
    <t>trailing_vol</t>
  </si>
  <si>
    <t>modelA_type</t>
  </si>
  <si>
    <t>modA_proj_price</t>
  </si>
  <si>
    <t>modA_proj_timeline</t>
  </si>
  <si>
    <t>target_weight</t>
  </si>
  <si>
    <t>1 research line per trade in TRADE</t>
  </si>
  <si>
    <t>pairing_stocks</t>
  </si>
  <si>
    <t>Table</t>
  </si>
  <si>
    <t>Bytes Per Record</t>
  </si>
  <si>
    <t>Record Assumption</t>
  </si>
  <si>
    <t>Storage Assumption (Bytes)</t>
  </si>
  <si>
    <t>Storage Assumption (GB)</t>
  </si>
  <si>
    <t>SIMULATION</t>
  </si>
  <si>
    <t>SCALED</t>
  </si>
  <si>
    <t>PER</t>
  </si>
  <si>
    <t># Rows</t>
  </si>
  <si>
    <t>For Each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</si>
</sst>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3" fontId="2" fillId="4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/>
    <xf numFmtId="0" fontId="3" fillId="7" borderId="2" xfId="0" applyFont="1" applyFill="1" applyBorder="1" applyAlignment="1">
      <alignment horizontal="left"/>
    </xf>
    <xf numFmtId="4" fontId="3" fillId="7" borderId="3" xfId="0" applyNumberFormat="1" applyFont="1" applyFill="1" applyBorder="1" applyAlignment="1">
      <alignment horizontal="center"/>
    </xf>
    <xf numFmtId="4" fontId="1" fillId="7" borderId="3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4" fontId="1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8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left"/>
    </xf>
    <xf numFmtId="3" fontId="0" fillId="6" borderId="14" xfId="0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4849-A421-497C-91F0-AE0D405F3750}">
  <dimension ref="A1:P79"/>
  <sheetViews>
    <sheetView topLeftCell="A34" workbookViewId="0">
      <selection activeCell="B82" sqref="B82"/>
    </sheetView>
  </sheetViews>
  <sheetFormatPr defaultRowHeight="11.25" x14ac:dyDescent="0.2"/>
  <cols>
    <col min="1" max="16" width="14.6640625" style="1" customWidth="1"/>
  </cols>
  <sheetData>
    <row r="1" spans="1:12" ht="12.75" x14ac:dyDescent="0.2">
      <c r="A1" s="5" t="s">
        <v>0</v>
      </c>
    </row>
    <row r="2" spans="1:12" x14ac:dyDescent="0.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</row>
    <row r="3" spans="1:12" x14ac:dyDescent="0.2">
      <c r="A3" s="9" t="s">
        <v>9</v>
      </c>
      <c r="B3" s="10" t="s">
        <v>9</v>
      </c>
      <c r="C3" s="10" t="s">
        <v>10</v>
      </c>
      <c r="D3" s="10" t="s">
        <v>11</v>
      </c>
      <c r="E3" s="10" t="s">
        <v>10</v>
      </c>
      <c r="F3" s="10" t="s">
        <v>12</v>
      </c>
      <c r="G3" s="10" t="s">
        <v>13</v>
      </c>
      <c r="H3" s="11" t="s">
        <v>14</v>
      </c>
    </row>
    <row r="4" spans="1:12" x14ac:dyDescent="0.2">
      <c r="A4" s="12">
        <v>12</v>
      </c>
      <c r="B4" s="13">
        <v>12</v>
      </c>
      <c r="C4" s="13">
        <v>257</v>
      </c>
      <c r="D4" s="13">
        <v>127</v>
      </c>
      <c r="E4" s="13">
        <v>257</v>
      </c>
      <c r="F4" s="13">
        <v>52</v>
      </c>
      <c r="G4" s="13">
        <v>8</v>
      </c>
      <c r="H4" s="14">
        <v>1</v>
      </c>
    </row>
    <row r="5" spans="1:12" x14ac:dyDescent="0.2">
      <c r="A5" s="3" t="str">
        <f>A1&amp;": "&amp;SUM(4:4)&amp;" Bytes"</f>
        <v>SCREENER: 726 Bytes</v>
      </c>
    </row>
    <row r="6" spans="1:12" x14ac:dyDescent="0.2">
      <c r="A6" s="4" t="s">
        <v>15</v>
      </c>
      <c r="B6" s="18">
        <v>9000</v>
      </c>
    </row>
    <row r="7" spans="1:12" x14ac:dyDescent="0.2">
      <c r="A7" s="15" t="str">
        <f>"PROJECTED SIZE: "&amp;TEXT(B6*SUM(4:4),"0,000")&amp;" Bytes | "&amp;TEXT(B6*SUM(4:4)/1000000000,"0.0000")&amp;" GB"</f>
        <v>PROJECTED SIZE: 6,534,000 Bytes | 0.0065 GB</v>
      </c>
      <c r="B7" s="16"/>
      <c r="C7" s="17"/>
    </row>
    <row r="9" spans="1:12" ht="12.75" x14ac:dyDescent="0.2">
      <c r="A9" s="5" t="s">
        <v>16</v>
      </c>
      <c r="B9" s="20" t="s">
        <v>48</v>
      </c>
      <c r="C9" s="19" t="s">
        <v>50</v>
      </c>
    </row>
    <row r="10" spans="1:12" x14ac:dyDescent="0.2">
      <c r="A10" s="6" t="s">
        <v>17</v>
      </c>
      <c r="B10" s="7" t="s">
        <v>18</v>
      </c>
      <c r="C10" s="7" t="s">
        <v>1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7" t="s">
        <v>24</v>
      </c>
      <c r="J10" s="7" t="s">
        <v>25</v>
      </c>
      <c r="K10" s="7" t="s">
        <v>26</v>
      </c>
      <c r="L10" s="8" t="s">
        <v>7</v>
      </c>
    </row>
    <row r="11" spans="1:12" x14ac:dyDescent="0.2">
      <c r="A11" s="9" t="s">
        <v>27</v>
      </c>
      <c r="B11" s="10" t="s">
        <v>28</v>
      </c>
      <c r="C11" s="10" t="s">
        <v>9</v>
      </c>
      <c r="D11" s="10" t="s">
        <v>29</v>
      </c>
      <c r="E11" s="10" t="s">
        <v>29</v>
      </c>
      <c r="F11" s="10" t="s">
        <v>29</v>
      </c>
      <c r="G11" s="10" t="s">
        <v>29</v>
      </c>
      <c r="H11" s="10" t="s">
        <v>29</v>
      </c>
      <c r="I11" s="10" t="s">
        <v>29</v>
      </c>
      <c r="J11" s="10" t="s">
        <v>29</v>
      </c>
      <c r="K11" s="10" t="s">
        <v>30</v>
      </c>
      <c r="L11" s="11" t="s">
        <v>13</v>
      </c>
    </row>
    <row r="12" spans="1:12" x14ac:dyDescent="0.2">
      <c r="A12" s="12">
        <v>8</v>
      </c>
      <c r="B12" s="13">
        <v>3</v>
      </c>
      <c r="C12" s="13">
        <v>12</v>
      </c>
      <c r="D12" s="13">
        <v>8</v>
      </c>
      <c r="E12" s="13">
        <v>8</v>
      </c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>
        <v>4</v>
      </c>
      <c r="L12" s="14">
        <v>8</v>
      </c>
    </row>
    <row r="13" spans="1:12" x14ac:dyDescent="0.2">
      <c r="A13" s="3" t="str">
        <f>A9&amp;": "&amp;SUM(12:12)&amp;" Bytes"</f>
        <v>HIST_DATA: 91 Bytes</v>
      </c>
    </row>
    <row r="14" spans="1:12" x14ac:dyDescent="0.2">
      <c r="A14" s="4" t="s">
        <v>15</v>
      </c>
      <c r="B14" s="18">
        <f>B6*500</f>
        <v>4500000</v>
      </c>
    </row>
    <row r="15" spans="1:12" x14ac:dyDescent="0.2">
      <c r="A15" s="15" t="str">
        <f>"PROJECTED SIZE: "&amp;TEXT(B14*SUM(12:12),"0,000")&amp;" Bytes | "&amp;TEXT(B14*SUM(12:12)/1000000000,"0.0000")&amp;" GB"</f>
        <v>PROJECTED SIZE: 409,500,000 Bytes | 0.4095 GB</v>
      </c>
      <c r="B15" s="16"/>
      <c r="C15" s="17"/>
    </row>
    <row r="17" spans="1:9" ht="12.75" x14ac:dyDescent="0.2">
      <c r="A17" s="5" t="s">
        <v>31</v>
      </c>
      <c r="B17" s="20" t="s">
        <v>48</v>
      </c>
      <c r="C17" s="19" t="s">
        <v>49</v>
      </c>
    </row>
    <row r="18" spans="1:9" x14ac:dyDescent="0.2">
      <c r="A18" s="6" t="s">
        <v>32</v>
      </c>
      <c r="B18" s="7" t="s">
        <v>33</v>
      </c>
      <c r="C18" s="7" t="s">
        <v>34</v>
      </c>
      <c r="D18" s="7" t="s">
        <v>35</v>
      </c>
      <c r="E18" s="7" t="s">
        <v>36</v>
      </c>
      <c r="F18" s="7" t="s">
        <v>38</v>
      </c>
      <c r="G18" s="7" t="s">
        <v>39</v>
      </c>
      <c r="H18" s="7" t="s">
        <v>40</v>
      </c>
      <c r="I18" s="8" t="s">
        <v>41</v>
      </c>
    </row>
    <row r="19" spans="1:9" x14ac:dyDescent="0.2">
      <c r="A19" s="9" t="s">
        <v>30</v>
      </c>
      <c r="B19" s="10" t="s">
        <v>10</v>
      </c>
      <c r="C19" s="10" t="s">
        <v>10</v>
      </c>
      <c r="D19" s="10" t="s">
        <v>10</v>
      </c>
      <c r="E19" s="10" t="s">
        <v>37</v>
      </c>
      <c r="F19" s="10" t="s">
        <v>10</v>
      </c>
      <c r="G19" s="10" t="s">
        <v>10</v>
      </c>
      <c r="H19" s="10" t="s">
        <v>9</v>
      </c>
      <c r="I19" s="11" t="s">
        <v>42</v>
      </c>
    </row>
    <row r="20" spans="1:9" x14ac:dyDescent="0.2">
      <c r="A20" s="12">
        <v>4</v>
      </c>
      <c r="B20" s="13">
        <v>257</v>
      </c>
      <c r="C20" s="13">
        <v>257</v>
      </c>
      <c r="D20" s="13">
        <v>257</v>
      </c>
      <c r="E20" s="13">
        <v>22</v>
      </c>
      <c r="F20" s="13">
        <v>257</v>
      </c>
      <c r="G20" s="13">
        <v>257</v>
      </c>
      <c r="H20" s="13">
        <v>12</v>
      </c>
      <c r="I20" s="14">
        <v>7</v>
      </c>
    </row>
    <row r="21" spans="1:9" x14ac:dyDescent="0.2">
      <c r="A21" s="3" t="str">
        <f>A17&amp;": "&amp;SUM(20:20)&amp;" Bytes"</f>
        <v>USER: 1330 Bytes</v>
      </c>
    </row>
    <row r="22" spans="1:9" x14ac:dyDescent="0.2">
      <c r="A22" s="4" t="s">
        <v>15</v>
      </c>
      <c r="B22" s="18">
        <v>1000</v>
      </c>
    </row>
    <row r="23" spans="1:9" x14ac:dyDescent="0.2">
      <c r="A23" s="15" t="str">
        <f>"PROJECTED SIZE: "&amp;TEXT(B22*SUM(20:20),"0,000")&amp;" Bytes | "&amp;TEXT(B22*SUM(20:20)/1000000000,"0.0000")&amp;" GB"</f>
        <v>PROJECTED SIZE: 1,330,000 Bytes | 0.0013 GB</v>
      </c>
      <c r="B23" s="16"/>
      <c r="C23" s="17"/>
    </row>
    <row r="25" spans="1:9" ht="12.75" x14ac:dyDescent="0.2">
      <c r="A25" s="5" t="s">
        <v>43</v>
      </c>
      <c r="B25" s="20" t="s">
        <v>48</v>
      </c>
      <c r="C25" s="19" t="s">
        <v>51</v>
      </c>
    </row>
    <row r="26" spans="1:9" x14ac:dyDescent="0.2">
      <c r="A26" s="6" t="s">
        <v>44</v>
      </c>
      <c r="B26" s="7" t="s">
        <v>45</v>
      </c>
      <c r="C26" s="7" t="s">
        <v>46</v>
      </c>
      <c r="D26" s="7" t="s">
        <v>47</v>
      </c>
      <c r="E26" s="8" t="s">
        <v>32</v>
      </c>
    </row>
    <row r="27" spans="1:9" x14ac:dyDescent="0.2">
      <c r="A27" s="9" t="s">
        <v>27</v>
      </c>
      <c r="B27" s="10" t="s">
        <v>10</v>
      </c>
      <c r="C27" s="10" t="s">
        <v>13</v>
      </c>
      <c r="D27" s="10" t="s">
        <v>13</v>
      </c>
      <c r="E27" s="11" t="s">
        <v>30</v>
      </c>
    </row>
    <row r="28" spans="1:9" x14ac:dyDescent="0.2">
      <c r="A28" s="12">
        <v>8</v>
      </c>
      <c r="B28" s="13">
        <v>257</v>
      </c>
      <c r="C28" s="13">
        <v>8</v>
      </c>
      <c r="D28" s="13">
        <v>8</v>
      </c>
      <c r="E28" s="14">
        <v>4</v>
      </c>
    </row>
    <row r="29" spans="1:9" x14ac:dyDescent="0.2">
      <c r="A29" s="3" t="str">
        <f>A25&amp;": "&amp;SUM(28:28)&amp;" Bytes"</f>
        <v>PORTFOLIO: 285 Bytes</v>
      </c>
    </row>
    <row r="30" spans="1:9" x14ac:dyDescent="0.2">
      <c r="A30" s="4" t="s">
        <v>15</v>
      </c>
      <c r="B30" s="18">
        <f>3*B22</f>
        <v>3000</v>
      </c>
    </row>
    <row r="31" spans="1:9" x14ac:dyDescent="0.2">
      <c r="A31" s="15" t="str">
        <f>"PROJECTED SIZE: "&amp;TEXT(B30*SUM(28:28),"0,000")&amp;" Bytes | "&amp;TEXT(B30*SUM(28:28)/1000000000,"0.0000")&amp;" GB"</f>
        <v>PROJECTED SIZE: 855,000 Bytes | 0.0009 GB</v>
      </c>
      <c r="B31" s="16"/>
      <c r="C31" s="17"/>
    </row>
    <row r="33" spans="1:3" ht="12.75" x14ac:dyDescent="0.2">
      <c r="A33" s="5" t="s">
        <v>52</v>
      </c>
      <c r="B33" s="20" t="s">
        <v>48</v>
      </c>
      <c r="C33" s="19" t="s">
        <v>53</v>
      </c>
    </row>
    <row r="34" spans="1:3" x14ac:dyDescent="0.2">
      <c r="A34" s="6" t="s">
        <v>54</v>
      </c>
      <c r="B34" s="7" t="s">
        <v>44</v>
      </c>
      <c r="C34" s="8" t="s">
        <v>55</v>
      </c>
    </row>
    <row r="35" spans="1:3" x14ac:dyDescent="0.2">
      <c r="A35" s="9" t="s">
        <v>27</v>
      </c>
      <c r="B35" s="10" t="s">
        <v>27</v>
      </c>
      <c r="C35" s="11" t="s">
        <v>10</v>
      </c>
    </row>
    <row r="36" spans="1:3" x14ac:dyDescent="0.2">
      <c r="A36" s="12">
        <v>8</v>
      </c>
      <c r="B36" s="13">
        <v>8</v>
      </c>
      <c r="C36" s="14">
        <v>257</v>
      </c>
    </row>
    <row r="37" spans="1:3" x14ac:dyDescent="0.2">
      <c r="A37" s="3" t="str">
        <f>A33&amp;": "&amp;SUM(36:36)&amp;" Bytes"</f>
        <v>WATCHLIST: 273 Bytes</v>
      </c>
    </row>
    <row r="38" spans="1:3" x14ac:dyDescent="0.2">
      <c r="A38" s="4" t="s">
        <v>15</v>
      </c>
      <c r="B38" s="18">
        <f>3*B30</f>
        <v>9000</v>
      </c>
    </row>
    <row r="39" spans="1:3" x14ac:dyDescent="0.2">
      <c r="A39" s="15" t="str">
        <f>"PROJECTED SIZE: "&amp;TEXT(B38*SUM(36:36),"0,000")&amp;" Bytes | "&amp;TEXT(B38*SUM(36:36)/1000000000,"0.0000")&amp;" GB"</f>
        <v>PROJECTED SIZE: 2,457,000 Bytes | 0.0025 GB</v>
      </c>
      <c r="B39" s="16"/>
      <c r="C39" s="17"/>
    </row>
    <row r="41" spans="1:3" ht="12.75" x14ac:dyDescent="0.2">
      <c r="A41" s="5" t="s">
        <v>56</v>
      </c>
      <c r="B41" s="20" t="s">
        <v>48</v>
      </c>
      <c r="C41" s="19" t="s">
        <v>57</v>
      </c>
    </row>
    <row r="42" spans="1:3" x14ac:dyDescent="0.2">
      <c r="A42" s="6" t="s">
        <v>58</v>
      </c>
      <c r="B42" s="7" t="s">
        <v>54</v>
      </c>
      <c r="C42" s="8" t="s">
        <v>1</v>
      </c>
    </row>
    <row r="43" spans="1:3" x14ac:dyDescent="0.2">
      <c r="A43" s="9" t="s">
        <v>27</v>
      </c>
      <c r="B43" s="10" t="s">
        <v>27</v>
      </c>
      <c r="C43" s="11" t="s">
        <v>9</v>
      </c>
    </row>
    <row r="44" spans="1:3" x14ac:dyDescent="0.2">
      <c r="A44" s="12">
        <v>8</v>
      </c>
      <c r="B44" s="13">
        <v>8</v>
      </c>
      <c r="C44" s="14">
        <v>12</v>
      </c>
    </row>
    <row r="45" spans="1:3" x14ac:dyDescent="0.2">
      <c r="A45" s="3" t="str">
        <f>A41&amp;": "&amp;SUM(44:44)&amp;" Bytes"</f>
        <v>WL_ENTITIES: 28 Bytes</v>
      </c>
    </row>
    <row r="46" spans="1:3" x14ac:dyDescent="0.2">
      <c r="A46" s="4" t="s">
        <v>15</v>
      </c>
      <c r="B46" s="18">
        <f>50*B38</f>
        <v>450000</v>
      </c>
    </row>
    <row r="47" spans="1:3" x14ac:dyDescent="0.2">
      <c r="A47" s="15" t="str">
        <f>"PROJECTED SIZE: "&amp;TEXT(B46*SUM(44:44),"0,000")&amp;" Bytes | "&amp;TEXT(B46*SUM(44:44)/1000000000,"0.0000")&amp;" GB"</f>
        <v>PROJECTED SIZE: 12,600,000 Bytes | 0.0126 GB</v>
      </c>
      <c r="B47" s="16"/>
      <c r="C47" s="17"/>
    </row>
    <row r="49" spans="1:9" ht="12.75" x14ac:dyDescent="0.2">
      <c r="A49" s="5" t="s">
        <v>59</v>
      </c>
      <c r="B49" s="20" t="s">
        <v>48</v>
      </c>
      <c r="C49" s="19" t="s">
        <v>60</v>
      </c>
    </row>
    <row r="50" spans="1:9" x14ac:dyDescent="0.2">
      <c r="A50" s="6" t="s">
        <v>61</v>
      </c>
      <c r="B50" s="7" t="s">
        <v>32</v>
      </c>
      <c r="C50" s="7" t="s">
        <v>62</v>
      </c>
      <c r="D50" s="7" t="s">
        <v>63</v>
      </c>
      <c r="E50" s="8" t="s">
        <v>64</v>
      </c>
    </row>
    <row r="51" spans="1:9" x14ac:dyDescent="0.2">
      <c r="A51" s="9" t="s">
        <v>27</v>
      </c>
      <c r="B51" s="10" t="s">
        <v>30</v>
      </c>
      <c r="C51" s="10" t="s">
        <v>10</v>
      </c>
      <c r="D51" s="10" t="s">
        <v>13</v>
      </c>
      <c r="E51" s="11" t="s">
        <v>13</v>
      </c>
    </row>
    <row r="52" spans="1:9" x14ac:dyDescent="0.2">
      <c r="A52" s="12">
        <v>8</v>
      </c>
      <c r="B52" s="13">
        <v>4</v>
      </c>
      <c r="C52" s="13">
        <v>257</v>
      </c>
      <c r="D52" s="13">
        <v>8</v>
      </c>
      <c r="E52" s="14">
        <v>8</v>
      </c>
    </row>
    <row r="53" spans="1:9" x14ac:dyDescent="0.2">
      <c r="A53" s="3" t="str">
        <f>A49&amp;": "&amp;SUM(52:52)&amp;" Bytes"</f>
        <v>SECURE: 285 Bytes</v>
      </c>
    </row>
    <row r="54" spans="1:9" x14ac:dyDescent="0.2">
      <c r="A54" s="4" t="s">
        <v>15</v>
      </c>
      <c r="B54" s="18">
        <f>10*B22</f>
        <v>10000</v>
      </c>
    </row>
    <row r="55" spans="1:9" x14ac:dyDescent="0.2">
      <c r="A55" s="15" t="str">
        <f>"PROJECTED SIZE: "&amp;TEXT(B54*SUM(52:52),"0,000")&amp;" Bytes | "&amp;TEXT(B54*SUM(52:52)/1000000000,"0.0000")&amp;" GB"</f>
        <v>PROJECTED SIZE: 2,850,000 Bytes | 0.0029 GB</v>
      </c>
      <c r="B55" s="16"/>
      <c r="C55" s="17"/>
    </row>
    <row r="57" spans="1:9" ht="12.75" x14ac:dyDescent="0.2">
      <c r="A57" s="5" t="s">
        <v>65</v>
      </c>
      <c r="B57" s="20" t="s">
        <v>48</v>
      </c>
      <c r="C57" s="19" t="s">
        <v>73</v>
      </c>
    </row>
    <row r="58" spans="1:9" x14ac:dyDescent="0.2">
      <c r="A58" s="6" t="s">
        <v>66</v>
      </c>
      <c r="B58" s="7" t="s">
        <v>44</v>
      </c>
      <c r="C58" s="7" t="s">
        <v>1</v>
      </c>
      <c r="D58" s="7" t="s">
        <v>67</v>
      </c>
      <c r="E58" s="7" t="s">
        <v>68</v>
      </c>
      <c r="F58" s="7" t="s">
        <v>69</v>
      </c>
      <c r="G58" s="7" t="s">
        <v>70</v>
      </c>
      <c r="H58" s="21" t="s">
        <v>71</v>
      </c>
      <c r="I58" s="8" t="s">
        <v>72</v>
      </c>
    </row>
    <row r="59" spans="1:9" x14ac:dyDescent="0.2">
      <c r="A59" s="9" t="s">
        <v>27</v>
      </c>
      <c r="B59" s="10" t="s">
        <v>27</v>
      </c>
      <c r="C59" s="10" t="s">
        <v>9</v>
      </c>
      <c r="D59" s="10" t="s">
        <v>30</v>
      </c>
      <c r="E59" s="10" t="s">
        <v>80</v>
      </c>
      <c r="F59" s="10" t="s">
        <v>13</v>
      </c>
      <c r="G59" s="10" t="s">
        <v>13</v>
      </c>
      <c r="H59" s="22" t="s">
        <v>10</v>
      </c>
      <c r="I59" s="11" t="s">
        <v>9</v>
      </c>
    </row>
    <row r="60" spans="1:9" x14ac:dyDescent="0.2">
      <c r="A60" s="12">
        <v>8</v>
      </c>
      <c r="B60" s="13">
        <v>8</v>
      </c>
      <c r="C60" s="13">
        <v>12</v>
      </c>
      <c r="D60" s="13">
        <v>4</v>
      </c>
      <c r="E60" s="13">
        <v>9</v>
      </c>
      <c r="F60" s="13">
        <v>8</v>
      </c>
      <c r="G60" s="13">
        <v>8</v>
      </c>
      <c r="H60" s="23">
        <v>257</v>
      </c>
      <c r="I60" s="14">
        <v>12</v>
      </c>
    </row>
    <row r="61" spans="1:9" x14ac:dyDescent="0.2">
      <c r="A61" s="3" t="str">
        <f>A57&amp;": "&amp;SUM(60:60)&amp;" Bytes"</f>
        <v>POSITIONS: 326 Bytes</v>
      </c>
    </row>
    <row r="62" spans="1:9" x14ac:dyDescent="0.2">
      <c r="A62" s="4" t="s">
        <v>15</v>
      </c>
      <c r="B62" s="18">
        <f>500*B30</f>
        <v>1500000</v>
      </c>
    </row>
    <row r="63" spans="1:9" x14ac:dyDescent="0.2">
      <c r="A63" s="15" t="str">
        <f>"PROJECTED SIZE: "&amp;TEXT(B62*SUM(60:60),"0,000")&amp;" Bytes | "&amp;TEXT(B62*SUM(60:60)/1000000000,"0.0000")&amp;" GB"</f>
        <v>PROJECTED SIZE: 489,000,000 Bytes | 0.4890 GB</v>
      </c>
      <c r="B63" s="16"/>
      <c r="C63" s="17"/>
    </row>
    <row r="65" spans="1:12" ht="12.75" x14ac:dyDescent="0.2">
      <c r="A65" s="5" t="s">
        <v>74</v>
      </c>
      <c r="B65" s="20" t="s">
        <v>48</v>
      </c>
      <c r="C65" s="19" t="s">
        <v>75</v>
      </c>
    </row>
    <row r="66" spans="1:12" x14ac:dyDescent="0.2">
      <c r="A66" s="6" t="s">
        <v>76</v>
      </c>
      <c r="B66" s="7" t="s">
        <v>66</v>
      </c>
      <c r="C66" s="7" t="s">
        <v>67</v>
      </c>
      <c r="D66" s="7" t="s">
        <v>77</v>
      </c>
      <c r="E66" s="7" t="s">
        <v>78</v>
      </c>
      <c r="F66" s="8" t="s">
        <v>79</v>
      </c>
    </row>
    <row r="67" spans="1:12" x14ac:dyDescent="0.2">
      <c r="A67" s="9" t="s">
        <v>27</v>
      </c>
      <c r="B67" s="10" t="s">
        <v>27</v>
      </c>
      <c r="C67" s="10" t="s">
        <v>30</v>
      </c>
      <c r="D67" s="10" t="s">
        <v>80</v>
      </c>
      <c r="E67" s="10" t="s">
        <v>13</v>
      </c>
      <c r="F67" s="11" t="s">
        <v>9</v>
      </c>
    </row>
    <row r="68" spans="1:12" x14ac:dyDescent="0.2">
      <c r="A68" s="12">
        <v>8</v>
      </c>
      <c r="B68" s="13">
        <v>8</v>
      </c>
      <c r="C68" s="13">
        <v>4</v>
      </c>
      <c r="D68" s="13">
        <v>9</v>
      </c>
      <c r="E68" s="13">
        <v>8</v>
      </c>
      <c r="F68" s="14">
        <v>12</v>
      </c>
    </row>
    <row r="69" spans="1:12" x14ac:dyDescent="0.2">
      <c r="A69" s="3" t="str">
        <f>A65&amp;": "&amp;SUM(68:68)&amp;" Bytes"</f>
        <v>TRADE: 49 Bytes</v>
      </c>
    </row>
    <row r="70" spans="1:12" x14ac:dyDescent="0.2">
      <c r="A70" s="4" t="s">
        <v>15</v>
      </c>
      <c r="B70" s="18">
        <f>5*B62</f>
        <v>7500000</v>
      </c>
    </row>
    <row r="71" spans="1:12" x14ac:dyDescent="0.2">
      <c r="A71" s="15" t="str">
        <f>"PROJECTED SIZE: "&amp;TEXT(B70*SUM(68:68),"0,000")&amp;" Bytes | "&amp;TEXT(B70*SUM(68:68)/1000000000,"0.0000")&amp;" GB"</f>
        <v>PROJECTED SIZE: 367,500,000 Bytes | 0.3675 GB</v>
      </c>
      <c r="B71" s="16"/>
      <c r="C71" s="17"/>
    </row>
    <row r="73" spans="1:12" ht="12.75" x14ac:dyDescent="0.2">
      <c r="A73" s="5" t="s">
        <v>81</v>
      </c>
      <c r="B73" s="20" t="s">
        <v>48</v>
      </c>
      <c r="C73" s="19" t="s">
        <v>91</v>
      </c>
    </row>
    <row r="74" spans="1:12" x14ac:dyDescent="0.2">
      <c r="A74" s="6" t="s">
        <v>82</v>
      </c>
      <c r="B74" s="7" t="s">
        <v>76</v>
      </c>
      <c r="C74" s="7" t="s">
        <v>83</v>
      </c>
      <c r="D74" s="7" t="s">
        <v>84</v>
      </c>
      <c r="E74" s="7" t="s">
        <v>85</v>
      </c>
      <c r="F74" s="7" t="s">
        <v>86</v>
      </c>
      <c r="G74" s="7" t="s">
        <v>87</v>
      </c>
      <c r="H74" s="7" t="s">
        <v>88</v>
      </c>
      <c r="I74" s="24" t="s">
        <v>89</v>
      </c>
      <c r="J74" s="24"/>
      <c r="K74" s="7" t="s">
        <v>90</v>
      </c>
      <c r="L74" s="8" t="s">
        <v>92</v>
      </c>
    </row>
    <row r="75" spans="1:12" x14ac:dyDescent="0.2">
      <c r="A75" s="9" t="s">
        <v>27</v>
      </c>
      <c r="B75" s="10" t="s">
        <v>27</v>
      </c>
      <c r="C75" s="10" t="s">
        <v>80</v>
      </c>
      <c r="D75" s="10" t="s">
        <v>30</v>
      </c>
      <c r="E75" s="10" t="s">
        <v>42</v>
      </c>
      <c r="F75" s="10" t="s">
        <v>80</v>
      </c>
      <c r="G75" s="10" t="s">
        <v>10</v>
      </c>
      <c r="H75" s="10" t="s">
        <v>80</v>
      </c>
      <c r="I75" s="25" t="s">
        <v>30</v>
      </c>
      <c r="J75" s="25"/>
      <c r="K75" s="10" t="s">
        <v>80</v>
      </c>
      <c r="L75" s="11" t="s">
        <v>10</v>
      </c>
    </row>
    <row r="76" spans="1:12" x14ac:dyDescent="0.2">
      <c r="A76" s="12">
        <v>8</v>
      </c>
      <c r="B76" s="13">
        <v>8</v>
      </c>
      <c r="C76" s="13">
        <v>9</v>
      </c>
      <c r="D76" s="13">
        <v>4</v>
      </c>
      <c r="E76" s="13">
        <v>7</v>
      </c>
      <c r="F76" s="13">
        <v>9</v>
      </c>
      <c r="G76" s="13">
        <v>257</v>
      </c>
      <c r="H76" s="13">
        <v>9</v>
      </c>
      <c r="I76" s="26">
        <v>4</v>
      </c>
      <c r="J76" s="26"/>
      <c r="K76" s="13">
        <v>9</v>
      </c>
      <c r="L76" s="14">
        <v>257</v>
      </c>
    </row>
    <row r="77" spans="1:12" x14ac:dyDescent="0.2">
      <c r="A77" s="3" t="str">
        <f>A73&amp;": "&amp;SUM(76:76)&amp;" Bytes"</f>
        <v>RESEARCH: 581 Bytes</v>
      </c>
    </row>
    <row r="78" spans="1:12" x14ac:dyDescent="0.2">
      <c r="A78" s="4" t="s">
        <v>15</v>
      </c>
      <c r="B78" s="18">
        <f>1*B70</f>
        <v>7500000</v>
      </c>
    </row>
    <row r="79" spans="1:12" x14ac:dyDescent="0.2">
      <c r="A79" s="15" t="str">
        <f>"PROJECTED SIZE: "&amp;TEXT(B78*SUM(76:76),"0,000")&amp;" Bytes | "&amp;TEXT(B78*SUM(76:76)/1000000000,"0.0000")&amp;" GB"</f>
        <v>PROJECTED SIZE: 4,357,500,000 Bytes | 4.3575 GB</v>
      </c>
      <c r="B79" s="16"/>
      <c r="C79" s="17"/>
    </row>
  </sheetData>
  <mergeCells count="3">
    <mergeCell ref="I74:J74"/>
    <mergeCell ref="I75:J75"/>
    <mergeCell ref="I76:J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C6BA-F74E-42C3-A8EE-A72FE43EE02A}">
  <dimension ref="A1:J14"/>
  <sheetViews>
    <sheetView tabSelected="1" workbookViewId="0">
      <selection activeCell="I13" sqref="I13"/>
    </sheetView>
  </sheetViews>
  <sheetFormatPr defaultRowHeight="11.25" x14ac:dyDescent="0.2"/>
  <cols>
    <col min="1" max="1" width="10.83203125" style="2" bestFit="1" customWidth="1"/>
    <col min="2" max="2" width="14.5" style="27" bestFit="1" customWidth="1"/>
    <col min="3" max="3" width="6.6640625" style="27" bestFit="1" customWidth="1"/>
    <col min="4" max="4" width="17.6640625" style="27" customWidth="1"/>
    <col min="5" max="5" width="16.33203125" style="28" bestFit="1" customWidth="1"/>
    <col min="6" max="6" width="22.5" style="28" bestFit="1" customWidth="1"/>
    <col min="7" max="7" width="20.33203125" style="28" bestFit="1" customWidth="1"/>
    <col min="8" max="8" width="16.33203125" style="28" bestFit="1" customWidth="1"/>
    <col min="9" max="9" width="22.5" style="28" bestFit="1" customWidth="1"/>
    <col min="10" max="10" width="20.33203125" style="28" bestFit="1" customWidth="1"/>
  </cols>
  <sheetData>
    <row r="1" spans="1:10" x14ac:dyDescent="0.2">
      <c r="A1" s="29"/>
      <c r="B1" s="30"/>
      <c r="C1" s="31" t="s">
        <v>100</v>
      </c>
      <c r="D1" s="31"/>
      <c r="E1" s="32" t="s">
        <v>98</v>
      </c>
      <c r="F1" s="32"/>
      <c r="G1" s="32"/>
      <c r="H1" s="32" t="s">
        <v>99</v>
      </c>
      <c r="I1" s="32"/>
      <c r="J1" s="33"/>
    </row>
    <row r="2" spans="1:10" x14ac:dyDescent="0.2">
      <c r="A2" s="34" t="s">
        <v>93</v>
      </c>
      <c r="B2" s="35" t="s">
        <v>94</v>
      </c>
      <c r="C2" s="35" t="s">
        <v>101</v>
      </c>
      <c r="D2" s="35" t="s">
        <v>102</v>
      </c>
      <c r="E2" s="36" t="s">
        <v>95</v>
      </c>
      <c r="F2" s="36" t="s">
        <v>96</v>
      </c>
      <c r="G2" s="36" t="s">
        <v>97</v>
      </c>
      <c r="H2" s="36" t="s">
        <v>95</v>
      </c>
      <c r="I2" s="36" t="s">
        <v>96</v>
      </c>
      <c r="J2" s="37" t="s">
        <v>97</v>
      </c>
    </row>
    <row r="3" spans="1:10" x14ac:dyDescent="0.2">
      <c r="A3" s="2" t="str">
        <f>TABLES!A1</f>
        <v>SCREENER</v>
      </c>
      <c r="B3" s="27">
        <f>SUM(TABLES!4:4)</f>
        <v>726</v>
      </c>
      <c r="C3" s="38"/>
      <c r="D3" s="40"/>
      <c r="E3" s="41">
        <v>8750</v>
      </c>
      <c r="F3" s="27">
        <f>B3*E3</f>
        <v>6352500</v>
      </c>
      <c r="G3" s="27" t="str">
        <f>TEXT(F3/1000000000,"0.0000")&amp;" GB"</f>
        <v>0.0064 GB</v>
      </c>
      <c r="H3" s="41">
        <v>8750</v>
      </c>
      <c r="I3" s="27">
        <f>B3*H3</f>
        <v>6352500</v>
      </c>
      <c r="J3" s="27" t="str">
        <f>I3/1000000000&amp;" GB"</f>
        <v>0.0063525 GB</v>
      </c>
    </row>
    <row r="4" spans="1:10" x14ac:dyDescent="0.2">
      <c r="A4" s="2" t="str">
        <f>TABLES!A9</f>
        <v>HIST_DATA</v>
      </c>
      <c r="B4" s="27">
        <f>SUM(TABLES!12:12)</f>
        <v>91</v>
      </c>
      <c r="C4" s="39">
        <v>500</v>
      </c>
      <c r="D4" s="40" t="s">
        <v>0</v>
      </c>
      <c r="E4" s="42">
        <f>IFERROR(_xlfn.XLOOKUP(D4,$A$3:$A$12,$E$3:$E$12),1)*C4</f>
        <v>4375000</v>
      </c>
      <c r="F4" s="27">
        <f t="shared" ref="F4:F12" si="0">B4*E4</f>
        <v>398125000</v>
      </c>
      <c r="G4" s="27" t="str">
        <f t="shared" ref="G4:G14" si="1">TEXT(F4/1000000000,"0.0000")&amp;" GB"</f>
        <v>0.3981 GB</v>
      </c>
      <c r="H4" s="42">
        <f>IFERROR(_xlfn.XLOOKUP(D4,$A$3:$A$12,$H$3:$H$12),1)*C4</f>
        <v>4375000</v>
      </c>
      <c r="I4" s="27">
        <f t="shared" ref="I4:I12" si="2">B4*H4</f>
        <v>398125000</v>
      </c>
      <c r="J4" s="27" t="str">
        <f t="shared" ref="J4:J12" si="3">I4/1000000000&amp;" GB"</f>
        <v>0.398125 GB</v>
      </c>
    </row>
    <row r="5" spans="1:10" x14ac:dyDescent="0.2">
      <c r="A5" s="2" t="str">
        <f>TABLES!A17</f>
        <v>USER</v>
      </c>
      <c r="B5" s="27">
        <f>SUM(TABLES!20:20)</f>
        <v>1330</v>
      </c>
      <c r="C5" s="38"/>
      <c r="D5" s="40"/>
      <c r="E5" s="43">
        <v>1</v>
      </c>
      <c r="F5" s="27">
        <f t="shared" si="0"/>
        <v>1330</v>
      </c>
      <c r="G5" s="27" t="str">
        <f t="shared" si="1"/>
        <v>0.0000 GB</v>
      </c>
      <c r="H5" s="43">
        <v>1000</v>
      </c>
      <c r="I5" s="27">
        <f t="shared" si="2"/>
        <v>1330000</v>
      </c>
      <c r="J5" s="27" t="str">
        <f t="shared" si="3"/>
        <v>0.00133 GB</v>
      </c>
    </row>
    <row r="6" spans="1:10" x14ac:dyDescent="0.2">
      <c r="A6" s="2" t="str">
        <f>TABLES!A25</f>
        <v>PORTFOLIO</v>
      </c>
      <c r="B6" s="27">
        <f>SUM(TABLES!28:28)</f>
        <v>285</v>
      </c>
      <c r="C6" s="39">
        <v>3</v>
      </c>
      <c r="D6" s="40" t="s">
        <v>31</v>
      </c>
      <c r="E6" s="42">
        <f t="shared" ref="E6:E12" si="4">IFERROR(_xlfn.XLOOKUP(D6,$A$3:$A$12,$E$3:$E$12),1)*C6</f>
        <v>3</v>
      </c>
      <c r="F6" s="27">
        <f t="shared" si="0"/>
        <v>855</v>
      </c>
      <c r="G6" s="27" t="str">
        <f t="shared" si="1"/>
        <v>0.0000 GB</v>
      </c>
      <c r="H6" s="42">
        <f t="shared" ref="H6:H12" si="5">IFERROR(_xlfn.XLOOKUP(D6,$A$3:$A$12,$H$3:$H$12),1)*C6</f>
        <v>3000</v>
      </c>
      <c r="I6" s="27">
        <f t="shared" si="2"/>
        <v>855000</v>
      </c>
      <c r="J6" s="27" t="str">
        <f t="shared" si="3"/>
        <v>0.000855 GB</v>
      </c>
    </row>
    <row r="7" spans="1:10" x14ac:dyDescent="0.2">
      <c r="A7" s="2" t="str">
        <f>TABLES!A33</f>
        <v>WATCHLIST</v>
      </c>
      <c r="B7" s="27">
        <f>SUM(TABLES!36:36)</f>
        <v>273</v>
      </c>
      <c r="C7" s="39">
        <v>3</v>
      </c>
      <c r="D7" s="40" t="s">
        <v>43</v>
      </c>
      <c r="E7" s="42">
        <f t="shared" si="4"/>
        <v>9</v>
      </c>
      <c r="F7" s="27">
        <f t="shared" si="0"/>
        <v>2457</v>
      </c>
      <c r="G7" s="27" t="str">
        <f t="shared" si="1"/>
        <v>0.0000 GB</v>
      </c>
      <c r="H7" s="42">
        <f>IFERROR(_xlfn.XLOOKUP(D7,$A$3:$A$12,$H$3:$H$12),1)*C7</f>
        <v>9000</v>
      </c>
      <c r="I7" s="27">
        <f t="shared" si="2"/>
        <v>2457000</v>
      </c>
      <c r="J7" s="27" t="str">
        <f t="shared" si="3"/>
        <v>0.002457 GB</v>
      </c>
    </row>
    <row r="8" spans="1:10" x14ac:dyDescent="0.2">
      <c r="A8" s="2" t="str">
        <f>TABLES!A41</f>
        <v>WL_ENTITIES</v>
      </c>
      <c r="B8" s="27">
        <f>SUM(TABLES!44:44)</f>
        <v>28</v>
      </c>
      <c r="C8" s="39">
        <v>50</v>
      </c>
      <c r="D8" s="40" t="s">
        <v>52</v>
      </c>
      <c r="E8" s="42">
        <f t="shared" si="4"/>
        <v>450</v>
      </c>
      <c r="F8" s="27">
        <f>B8*E8</f>
        <v>12600</v>
      </c>
      <c r="G8" s="27" t="str">
        <f t="shared" si="1"/>
        <v>0.0000 GB</v>
      </c>
      <c r="H8" s="42">
        <f t="shared" ref="H8:H12" si="6">IFERROR(_xlfn.XLOOKUP(D8,$A$3:$A$12,$H$3:$H$12),1)*C8</f>
        <v>450000</v>
      </c>
      <c r="I8" s="27">
        <f t="shared" si="2"/>
        <v>12600000</v>
      </c>
      <c r="J8" s="27" t="str">
        <f t="shared" si="3"/>
        <v>0.0126 GB</v>
      </c>
    </row>
    <row r="9" spans="1:10" x14ac:dyDescent="0.2">
      <c r="A9" s="2" t="str">
        <f>TABLES!A49</f>
        <v>SECURE</v>
      </c>
      <c r="B9" s="27">
        <f>SUM(TABLES!52:52)</f>
        <v>285</v>
      </c>
      <c r="C9" s="39">
        <v>10</v>
      </c>
      <c r="D9" s="40" t="s">
        <v>31</v>
      </c>
      <c r="E9" s="42">
        <f t="shared" si="4"/>
        <v>10</v>
      </c>
      <c r="F9" s="27">
        <f t="shared" si="0"/>
        <v>2850</v>
      </c>
      <c r="G9" s="27" t="str">
        <f t="shared" si="1"/>
        <v>0.0000 GB</v>
      </c>
      <c r="H9" s="42">
        <f t="shared" si="6"/>
        <v>10000</v>
      </c>
      <c r="I9" s="27">
        <f t="shared" si="2"/>
        <v>2850000</v>
      </c>
      <c r="J9" s="27" t="str">
        <f t="shared" si="3"/>
        <v>0.00285 GB</v>
      </c>
    </row>
    <row r="10" spans="1:10" x14ac:dyDescent="0.2">
      <c r="A10" s="2" t="str">
        <f>TABLES!A57</f>
        <v>POSITIONS</v>
      </c>
      <c r="B10" s="27">
        <f>SUM(TABLES!60:60)</f>
        <v>326</v>
      </c>
      <c r="C10" s="39">
        <v>500</v>
      </c>
      <c r="D10" s="40" t="s">
        <v>43</v>
      </c>
      <c r="E10" s="42">
        <f t="shared" si="4"/>
        <v>1500</v>
      </c>
      <c r="F10" s="27">
        <f t="shared" si="0"/>
        <v>489000</v>
      </c>
      <c r="G10" s="27" t="str">
        <f t="shared" si="1"/>
        <v>0.0005 GB</v>
      </c>
      <c r="H10" s="42">
        <f t="shared" si="6"/>
        <v>1500000</v>
      </c>
      <c r="I10" s="27">
        <f t="shared" si="2"/>
        <v>489000000</v>
      </c>
      <c r="J10" s="27" t="str">
        <f t="shared" si="3"/>
        <v>0.489 GB</v>
      </c>
    </row>
    <row r="11" spans="1:10" x14ac:dyDescent="0.2">
      <c r="A11" s="2" t="str">
        <f>TABLES!A65</f>
        <v>TRADE</v>
      </c>
      <c r="B11" s="27">
        <f>SUM(TABLES!68:68)</f>
        <v>49</v>
      </c>
      <c r="C11" s="39">
        <v>5</v>
      </c>
      <c r="D11" s="40" t="s">
        <v>65</v>
      </c>
      <c r="E11" s="42">
        <f t="shared" si="4"/>
        <v>7500</v>
      </c>
      <c r="F11" s="27">
        <f t="shared" si="0"/>
        <v>367500</v>
      </c>
      <c r="G11" s="27" t="str">
        <f t="shared" si="1"/>
        <v>0.0004 GB</v>
      </c>
      <c r="H11" s="42">
        <f t="shared" si="6"/>
        <v>7500000</v>
      </c>
      <c r="I11" s="27">
        <f t="shared" si="2"/>
        <v>367500000</v>
      </c>
      <c r="J11" s="27" t="str">
        <f t="shared" si="3"/>
        <v>0.3675 GB</v>
      </c>
    </row>
    <row r="12" spans="1:10" x14ac:dyDescent="0.2">
      <c r="A12" s="2" t="str">
        <f>TABLES!A73</f>
        <v>RESEARCH</v>
      </c>
      <c r="B12" s="27">
        <f>SUM(TABLES!76:76)</f>
        <v>581</v>
      </c>
      <c r="C12" s="39">
        <v>1</v>
      </c>
      <c r="D12" s="40" t="s">
        <v>74</v>
      </c>
      <c r="E12" s="42">
        <f t="shared" si="4"/>
        <v>7500</v>
      </c>
      <c r="F12" s="27">
        <f>B12*E12</f>
        <v>4357500</v>
      </c>
      <c r="G12" s="27" t="str">
        <f t="shared" si="1"/>
        <v>0.0044 GB</v>
      </c>
      <c r="H12" s="42">
        <f t="shared" si="6"/>
        <v>7500000</v>
      </c>
      <c r="I12" s="27">
        <f t="shared" si="2"/>
        <v>4357500000</v>
      </c>
      <c r="J12" s="27" t="str">
        <f t="shared" si="3"/>
        <v>4.3575 GB</v>
      </c>
    </row>
    <row r="13" spans="1:10" x14ac:dyDescent="0.2">
      <c r="G13" s="27"/>
    </row>
    <row r="14" spans="1:10" x14ac:dyDescent="0.2">
      <c r="F14" s="27">
        <f>SUM(F3:F12)</f>
        <v>409711592</v>
      </c>
      <c r="G14" s="27" t="str">
        <f t="shared" si="1"/>
        <v>0.4097 GB</v>
      </c>
      <c r="I14" s="27">
        <f>SUM(I3:I12)</f>
        <v>5638569500</v>
      </c>
      <c r="J14" s="27" t="str">
        <f>TEXT(I14/1000000000,"0.0000")&amp;" GB"</f>
        <v>5.6386 GB</v>
      </c>
    </row>
  </sheetData>
  <mergeCells count="3">
    <mergeCell ref="E1:G1"/>
    <mergeCell ref="H1:J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Terc</dc:creator>
  <cp:lastModifiedBy>Douglas Terc</cp:lastModifiedBy>
  <dcterms:created xsi:type="dcterms:W3CDTF">2022-05-23T12:22:56Z</dcterms:created>
  <dcterms:modified xsi:type="dcterms:W3CDTF">2022-05-23T13:43:35Z</dcterms:modified>
</cp:coreProperties>
</file>