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gwang/Desktop/"/>
    </mc:Choice>
  </mc:AlternateContent>
  <xr:revisionPtr revIDLastSave="0" documentId="13_ncr:1_{CE344750-4BBC-324C-A7BD-B531AB25BC26}" xr6:coauthVersionLast="47" xr6:coauthVersionMax="47" xr10:uidLastSave="{00000000-0000-0000-0000-000000000000}"/>
  <bookViews>
    <workbookView xWindow="0" yWindow="500" windowWidth="27720" windowHeight="17500" activeTab="6" xr2:uid="{31D605CF-4990-479E-97AD-8F21927802F1}"/>
  </bookViews>
  <sheets>
    <sheet name="r50 (me)" sheetId="4" r:id="rId1"/>
    <sheet name="r170 (Et)" sheetId="5" r:id="rId2"/>
    <sheet name="r14" sheetId="6" r:id="rId3"/>
    <sheet name="r14_exp_data" sheetId="8" r:id="rId4"/>
    <sheet name="r50_Trappe" sheetId="10" r:id="rId5"/>
    <sheet name="r170_Trappe" sheetId="11" r:id="rId6"/>
    <sheet name="MAPE_Final" sheetId="9" r:id="rId7"/>
  </sheets>
  <definedNames>
    <definedName name="ExternalData_1" localSheetId="3" hidden="1">'r14_exp_data'!$A$1:$Y$10</definedName>
    <definedName name="ExternalData_1" localSheetId="1" hidden="1">'r170 (Et)'!$A$1:$E$17</definedName>
    <definedName name="ExternalData_1" localSheetId="0" hidden="1">'r50 (me)'!$A$1:$E$19</definedName>
    <definedName name="ExternalData_2" localSheetId="2" hidden="1">'r14'!$A$1:$E$13</definedName>
    <definedName name="ExternalData_2" localSheetId="0" hidden="1">'r50 (me)'!$G$1:$K$19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9" l="1"/>
  <c r="D6" i="9"/>
  <c r="E6" i="9"/>
  <c r="B6" i="9"/>
  <c r="T2" i="11"/>
  <c r="S2" i="11"/>
  <c r="S8" i="11" s="1"/>
  <c r="R2" i="11"/>
  <c r="R8" i="11" s="1"/>
  <c r="Q2" i="11"/>
  <c r="Q8" i="11" s="1"/>
  <c r="T7" i="11"/>
  <c r="S7" i="11"/>
  <c r="R7" i="11"/>
  <c r="Q7" i="11"/>
  <c r="T6" i="11"/>
  <c r="S6" i="11"/>
  <c r="R6" i="11"/>
  <c r="Q6" i="11"/>
  <c r="T5" i="11"/>
  <c r="S5" i="11"/>
  <c r="R5" i="11"/>
  <c r="Q5" i="11"/>
  <c r="T4" i="11"/>
  <c r="S4" i="11"/>
  <c r="R4" i="11"/>
  <c r="Q4" i="11"/>
  <c r="T3" i="11"/>
  <c r="S3" i="11"/>
  <c r="R3" i="11"/>
  <c r="Q3" i="11"/>
  <c r="T8" i="11"/>
  <c r="C5" i="9"/>
  <c r="D5" i="9"/>
  <c r="E5" i="9"/>
  <c r="B5" i="9"/>
  <c r="T8" i="10"/>
  <c r="R8" i="10"/>
  <c r="S8" i="10"/>
  <c r="Q8" i="10"/>
  <c r="S2" i="10"/>
  <c r="R2" i="10"/>
  <c r="Q3" i="10"/>
  <c r="R3" i="10"/>
  <c r="S3" i="10"/>
  <c r="T3" i="10"/>
  <c r="Q4" i="10"/>
  <c r="R4" i="10"/>
  <c r="S4" i="10"/>
  <c r="T4" i="10"/>
  <c r="Q5" i="10"/>
  <c r="R5" i="10"/>
  <c r="S5" i="10"/>
  <c r="T5" i="10"/>
  <c r="Q6" i="10"/>
  <c r="R6" i="10"/>
  <c r="S6" i="10"/>
  <c r="T6" i="10"/>
  <c r="Q7" i="10"/>
  <c r="R7" i="10"/>
  <c r="S7" i="10"/>
  <c r="T7" i="10"/>
  <c r="T2" i="10"/>
  <c r="Q2" i="10"/>
  <c r="K2" i="10"/>
  <c r="K3" i="10"/>
  <c r="K4" i="10"/>
  <c r="K5" i="10"/>
  <c r="K6" i="10"/>
  <c r="K7" i="10"/>
  <c r="L16" i="11"/>
  <c r="L15" i="11"/>
  <c r="L14" i="11"/>
  <c r="I12" i="11"/>
  <c r="I13" i="11"/>
  <c r="I14" i="11"/>
  <c r="I15" i="11"/>
  <c r="I16" i="11"/>
  <c r="I17" i="11"/>
  <c r="K7" i="11"/>
  <c r="K6" i="11"/>
  <c r="K5" i="11"/>
  <c r="K4" i="11"/>
  <c r="K3" i="11"/>
  <c r="K2" i="11"/>
  <c r="H13" i="11"/>
  <c r="H14" i="11"/>
  <c r="H15" i="11"/>
  <c r="H16" i="11"/>
  <c r="H17" i="11"/>
  <c r="H12" i="11"/>
  <c r="E13" i="11"/>
  <c r="E14" i="11"/>
  <c r="E15" i="11"/>
  <c r="E16" i="11"/>
  <c r="E17" i="11"/>
  <c r="E12" i="11"/>
  <c r="G13" i="11"/>
  <c r="G14" i="11"/>
  <c r="G15" i="11"/>
  <c r="G16" i="11"/>
  <c r="G17" i="11"/>
  <c r="G12" i="11"/>
  <c r="G33" i="11"/>
  <c r="H33" i="11"/>
  <c r="I33" i="11" s="1"/>
  <c r="G34" i="11"/>
  <c r="F30" i="11"/>
  <c r="F31" i="11"/>
  <c r="F32" i="11"/>
  <c r="F33" i="11"/>
  <c r="F34" i="11"/>
  <c r="F29" i="11"/>
  <c r="P3" i="11"/>
  <c r="P4" i="11"/>
  <c r="P5" i="11"/>
  <c r="P6" i="11"/>
  <c r="P7" i="11"/>
  <c r="P2" i="11"/>
  <c r="P3" i="10"/>
  <c r="P4" i="10"/>
  <c r="P5" i="10"/>
  <c r="P6" i="10"/>
  <c r="P7" i="10"/>
  <c r="P2" i="10"/>
  <c r="I7" i="10"/>
  <c r="G2" i="10"/>
  <c r="F22" i="11"/>
  <c r="A18" i="11"/>
  <c r="F17" i="11"/>
  <c r="F16" i="11"/>
  <c r="F15" i="11"/>
  <c r="F14" i="11"/>
  <c r="F13" i="11"/>
  <c r="F12" i="11"/>
  <c r="I7" i="11"/>
  <c r="G7" i="11"/>
  <c r="J7" i="11" s="1"/>
  <c r="H7" i="11"/>
  <c r="H34" i="11" s="1"/>
  <c r="I34" i="11" s="1"/>
  <c r="I6" i="11"/>
  <c r="G6" i="11"/>
  <c r="J6" i="11" s="1"/>
  <c r="H6" i="11"/>
  <c r="I5" i="11"/>
  <c r="G5" i="11"/>
  <c r="G32" i="11" s="1"/>
  <c r="H5" i="11"/>
  <c r="H32" i="11" s="1"/>
  <c r="I32" i="11" s="1"/>
  <c r="I4" i="11"/>
  <c r="G4" i="11"/>
  <c r="G31" i="11" s="1"/>
  <c r="H4" i="11"/>
  <c r="H31" i="11" s="1"/>
  <c r="I31" i="11" s="1"/>
  <c r="I3" i="11"/>
  <c r="G3" i="11"/>
  <c r="G30" i="11" s="1"/>
  <c r="H3" i="11"/>
  <c r="H30" i="11" s="1"/>
  <c r="I30" i="11" s="1"/>
  <c r="I2" i="11"/>
  <c r="G2" i="11"/>
  <c r="G29" i="11" s="1"/>
  <c r="H2" i="11"/>
  <c r="H29" i="11" s="1"/>
  <c r="F22" i="10"/>
  <c r="F13" i="10"/>
  <c r="F14" i="10"/>
  <c r="F15" i="10"/>
  <c r="F16" i="10"/>
  <c r="F17" i="10"/>
  <c r="F12" i="10"/>
  <c r="A18" i="10"/>
  <c r="I3" i="10"/>
  <c r="I4" i="10"/>
  <c r="G14" i="10" s="1"/>
  <c r="I5" i="10"/>
  <c r="I6" i="10"/>
  <c r="I2" i="10"/>
  <c r="G12" i="10" s="1"/>
  <c r="G3" i="10"/>
  <c r="G4" i="10"/>
  <c r="G5" i="10"/>
  <c r="G6" i="10"/>
  <c r="G7" i="10"/>
  <c r="H3" i="10"/>
  <c r="H4" i="10"/>
  <c r="H5" i="10"/>
  <c r="H6" i="10"/>
  <c r="H7" i="10"/>
  <c r="H2" i="10"/>
  <c r="C4" i="9"/>
  <c r="D4" i="9"/>
  <c r="E4" i="9"/>
  <c r="B4" i="9"/>
  <c r="C3" i="9"/>
  <c r="D3" i="9"/>
  <c r="E3" i="9"/>
  <c r="B3" i="9"/>
  <c r="C2" i="9"/>
  <c r="D2" i="9"/>
  <c r="E2" i="9"/>
  <c r="B2" i="9"/>
  <c r="O4" i="6"/>
  <c r="O5" i="6"/>
  <c r="O6" i="6"/>
  <c r="O7" i="6"/>
  <c r="O8" i="6"/>
  <c r="O9" i="6"/>
  <c r="O10" i="6"/>
  <c r="O11" i="6"/>
  <c r="O3" i="6"/>
  <c r="J4" i="6"/>
  <c r="J5" i="6"/>
  <c r="N5" i="6" s="1"/>
  <c r="J6" i="6"/>
  <c r="J7" i="6"/>
  <c r="J8" i="6"/>
  <c r="N8" i="6" s="1"/>
  <c r="J9" i="6"/>
  <c r="J10" i="6"/>
  <c r="J11" i="6"/>
  <c r="J3" i="6"/>
  <c r="I4" i="6"/>
  <c r="I5" i="6"/>
  <c r="M5" i="6" s="1"/>
  <c r="I6" i="6"/>
  <c r="M6" i="6" s="1"/>
  <c r="I7" i="6"/>
  <c r="M7" i="6" s="1"/>
  <c r="I8" i="6"/>
  <c r="M8" i="6" s="1"/>
  <c r="I9" i="6"/>
  <c r="M9" i="6" s="1"/>
  <c r="I10" i="6"/>
  <c r="M10" i="6" s="1"/>
  <c r="I11" i="6"/>
  <c r="I3" i="6"/>
  <c r="M4" i="6"/>
  <c r="M3" i="6"/>
  <c r="N3" i="6"/>
  <c r="N4" i="6"/>
  <c r="N6" i="6"/>
  <c r="N7" i="6"/>
  <c r="N9" i="6"/>
  <c r="N10" i="6"/>
  <c r="M11" i="6"/>
  <c r="N11" i="6"/>
  <c r="L4" i="6"/>
  <c r="L5" i="6"/>
  <c r="L6" i="6"/>
  <c r="L7" i="6"/>
  <c r="L8" i="6"/>
  <c r="L9" i="6"/>
  <c r="L10" i="6"/>
  <c r="L11" i="6"/>
  <c r="L3" i="6"/>
  <c r="K3" i="6"/>
  <c r="K6" i="6"/>
  <c r="K4" i="6"/>
  <c r="K5" i="6"/>
  <c r="K7" i="6"/>
  <c r="K8" i="6"/>
  <c r="K9" i="6"/>
  <c r="K10" i="6"/>
  <c r="K11" i="6"/>
  <c r="Z2" i="8"/>
  <c r="Z3" i="8"/>
  <c r="Z4" i="8"/>
  <c r="Z5" i="8"/>
  <c r="Z6" i="8"/>
  <c r="Z7" i="8"/>
  <c r="Z8" i="8"/>
  <c r="Z9" i="8"/>
  <c r="Z10" i="8"/>
  <c r="F2" i="6"/>
  <c r="F3" i="6"/>
  <c r="F4" i="6"/>
  <c r="F5" i="6"/>
  <c r="F6" i="6"/>
  <c r="F7" i="6"/>
  <c r="F8" i="6"/>
  <c r="F9" i="6"/>
  <c r="F10" i="6"/>
  <c r="F11" i="6"/>
  <c r="H5" i="6"/>
  <c r="H6" i="6"/>
  <c r="H7" i="6"/>
  <c r="H8" i="6"/>
  <c r="H9" i="6"/>
  <c r="H10" i="6"/>
  <c r="H11" i="6"/>
  <c r="H4" i="6"/>
  <c r="H3" i="6"/>
  <c r="A17" i="6"/>
  <c r="A18" i="6" s="1"/>
  <c r="O2" i="4"/>
  <c r="O19" i="4"/>
  <c r="L19" i="4"/>
  <c r="L8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L5" i="4"/>
  <c r="M2" i="4"/>
  <c r="N2" i="4"/>
  <c r="M3" i="4"/>
  <c r="N3" i="4"/>
  <c r="M4" i="4"/>
  <c r="M19" i="4" s="1"/>
  <c r="N4" i="4"/>
  <c r="N19" i="4" s="1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L3" i="4"/>
  <c r="L4" i="4"/>
  <c r="L6" i="4"/>
  <c r="L7" i="4"/>
  <c r="L9" i="4"/>
  <c r="L10" i="4"/>
  <c r="L11" i="4"/>
  <c r="L12" i="4"/>
  <c r="L13" i="4"/>
  <c r="L14" i="4"/>
  <c r="L15" i="4"/>
  <c r="L16" i="4"/>
  <c r="L17" i="4"/>
  <c r="L1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2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A22" i="4"/>
  <c r="F2" i="4" s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2" i="5"/>
  <c r="P18" i="5" s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2" i="5"/>
  <c r="O18" i="5" s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2" i="5"/>
  <c r="N18" i="5" s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2" i="5"/>
  <c r="M18" i="5" s="1"/>
  <c r="L13" i="5"/>
  <c r="Q21" i="5"/>
  <c r="L3" i="5" s="1"/>
  <c r="Q22" i="5"/>
  <c r="L4" i="5" s="1"/>
  <c r="Q23" i="5"/>
  <c r="L5" i="5" s="1"/>
  <c r="Q24" i="5"/>
  <c r="L6" i="5" s="1"/>
  <c r="Q25" i="5"/>
  <c r="L7" i="5" s="1"/>
  <c r="Q26" i="5"/>
  <c r="L8" i="5" s="1"/>
  <c r="Q27" i="5"/>
  <c r="L9" i="5" s="1"/>
  <c r="Q28" i="5"/>
  <c r="L10" i="5" s="1"/>
  <c r="Q29" i="5"/>
  <c r="L11" i="5" s="1"/>
  <c r="Q30" i="5"/>
  <c r="L12" i="5" s="1"/>
  <c r="Q31" i="5"/>
  <c r="Q32" i="5"/>
  <c r="L14" i="5" s="1"/>
  <c r="Q33" i="5"/>
  <c r="L15" i="5" s="1"/>
  <c r="Q34" i="5"/>
  <c r="L16" i="5" s="1"/>
  <c r="Q35" i="5"/>
  <c r="L17" i="5" s="1"/>
  <c r="Q20" i="5"/>
  <c r="L2" i="5" s="1"/>
  <c r="N20" i="5"/>
  <c r="K2" i="5" s="1"/>
  <c r="N21" i="5"/>
  <c r="N22" i="5"/>
  <c r="N23" i="5"/>
  <c r="N24" i="5"/>
  <c r="N25" i="5"/>
  <c r="K7" i="5" s="1"/>
  <c r="N26" i="5"/>
  <c r="K8" i="5" s="1"/>
  <c r="N27" i="5"/>
  <c r="N28" i="5"/>
  <c r="K10" i="5" s="1"/>
  <c r="N29" i="5"/>
  <c r="N30" i="5"/>
  <c r="N31" i="5"/>
  <c r="N32" i="5"/>
  <c r="K14" i="5" s="1"/>
  <c r="N33" i="5"/>
  <c r="K15" i="5" s="1"/>
  <c r="N34" i="5"/>
  <c r="K16" i="5" s="1"/>
  <c r="N35" i="5"/>
  <c r="K17" i="5" s="1"/>
  <c r="A22" i="5"/>
  <c r="A23" i="5" s="1"/>
  <c r="K3" i="5"/>
  <c r="K4" i="5"/>
  <c r="K5" i="5"/>
  <c r="K6" i="5"/>
  <c r="K9" i="5"/>
  <c r="K11" i="5"/>
  <c r="K12" i="5"/>
  <c r="K13" i="5"/>
  <c r="J2" i="11" l="1"/>
  <c r="J5" i="11"/>
  <c r="J4" i="11"/>
  <c r="J3" i="11"/>
  <c r="I29" i="11"/>
  <c r="J7" i="10"/>
  <c r="J2" i="10"/>
  <c r="J6" i="10"/>
  <c r="J5" i="10"/>
  <c r="J4" i="10"/>
  <c r="J3" i="10"/>
  <c r="G17" i="10"/>
  <c r="G15" i="10"/>
  <c r="G13" i="10"/>
  <c r="G16" i="10"/>
  <c r="L13" i="6"/>
  <c r="M13" i="6"/>
  <c r="O13" i="6"/>
  <c r="N13" i="6"/>
  <c r="F4" i="4"/>
  <c r="F3" i="4"/>
  <c r="F18" i="4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2" i="5"/>
  <c r="F3" i="5"/>
  <c r="F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90BFCA-4DCC-4A62-9741-13F3A45737B5}" keepAlive="1" name="Query - r14_exp_data" description="Connection to the 'r14_exp_data' query in the workbook." type="5" refreshedVersion="8" background="1" saveData="1">
    <dbPr connection="Provider=Microsoft.Mashup.OleDb.1;Data Source=$Workbook$;Location=r14_exp_data;Extended Properties=&quot;&quot;" command="SELECT * FROM [r14_exp_data]"/>
  </connection>
  <connection id="2" xr16:uid="{CA44032C-2341-4B2B-83E4-AE80FE6520CB}" keepAlive="1" name="Query - Table002 (Page 7)" description="Connection to the 'Table002 (Page 7)' query in the workbook." type="5" refreshedVersion="8" background="1" saveData="1">
    <dbPr connection="Provider=Microsoft.Mashup.OleDb.1;Data Source=$Workbook$;Location=&quot;Table002 (Page 7)&quot;;Extended Properties=&quot;&quot;" command="SELECT * FROM [Table002 (Page 7)]"/>
  </connection>
  <connection id="3" xr16:uid="{86DFE1FB-72F7-47A8-9B90-95414D704CD9}" keepAlive="1" name="Query - Table002 (Page 7) (2)" description="Connection to the 'Table002 (Page 7) (2)' query in the workbook." type="5" refreshedVersion="8" background="1" saveData="1">
    <dbPr connection="Provider=Microsoft.Mashup.OleDb.1;Data Source=$Workbook$;Location=&quot;Table002 (Page 7) (2)&quot;;Extended Properties=&quot;&quot;" command="SELECT * FROM [Table002 (Page 7) (2)]"/>
  </connection>
  <connection id="4" xr16:uid="{623F7A56-2A85-4EA5-9DE6-4DE82FCB1639}" keepAlive="1" name="Query - Table003 (Page 8)" description="Connection to the 'Table003 (Page 8)' query in the workbook." type="5" refreshedVersion="8" background="1" saveData="1">
    <dbPr connection="Provider=Microsoft.Mashup.OleDb.1;Data Source=$Workbook$;Location=&quot;Table003 (Page 8)&quot;;Extended Properties=&quot;&quot;" command="SELECT * FROM [Table003 (Page 8)]"/>
  </connection>
  <connection id="5" xr16:uid="{BC2ACB45-5CF7-42DA-A0C2-33D15937FB5D}" keepAlive="1" name="Query - Table011 (Page 15)" description="Connection to the 'Table011 (Page 15)' query in the workbook." type="5" refreshedVersion="8" background="1" saveData="1">
    <dbPr connection="Provider=Microsoft.Mashup.OleDb.1;Data Source=$Workbook$;Location=&quot;Table011 (Page 15)&quot;;Extended Properties=&quot;&quot;" command="SELECT * FROM [Table011 (Page 15)]"/>
  </connection>
</connections>
</file>

<file path=xl/sharedStrings.xml><?xml version="1.0" encoding="utf-8"?>
<sst xmlns="http://schemas.openxmlformats.org/spreadsheetml/2006/main" count="200" uniqueCount="98">
  <si>
    <t>T (K)</t>
  </si>
  <si>
    <t>ρ_{l} (kg/m^{3} )</t>
  </si>
  <si>
    <t>ρ_{v} (kg/m^{3} )</t>
  </si>
  <si>
    <t>P(bar)</t>
  </si>
  <si>
    <t>∆H_{v} [kJ/mol]</t>
  </si>
  <si>
    <t>Sim</t>
  </si>
  <si>
    <t>Exp</t>
  </si>
  <si>
    <t>MAPE</t>
  </si>
  <si>
    <t>MAPE_rho_v</t>
  </si>
  <si>
    <t>MAPE_rho_l</t>
  </si>
  <si>
    <t>APE_rho_l</t>
  </si>
  <si>
    <t>APE_rho_v</t>
  </si>
  <si>
    <t>APE_P</t>
  </si>
  <si>
    <t>APE_delH</t>
  </si>
  <si>
    <t>molar mass</t>
  </si>
  <si>
    <t>∆H_{v} [kJ/kg]</t>
  </si>
  <si>
    <t>mol/kg</t>
  </si>
  <si>
    <t>kj/mol *</t>
  </si>
  <si>
    <t>g/mol</t>
  </si>
  <si>
    <t>kg/mol</t>
  </si>
  <si>
    <t>kJ/mol</t>
  </si>
  <si>
    <t>kJ/kg</t>
  </si>
  <si>
    <t>Molar Mass</t>
  </si>
  <si>
    <t>ρ_{v} (kg/m^{3} )2</t>
  </si>
  <si>
    <t>ρ_{l} (kg/m^{3} )3</t>
  </si>
  <si>
    <t>ρ_{v} (kg/m^{3} )4</t>
  </si>
  <si>
    <t>P(bar)5</t>
  </si>
  <si>
    <t>T (K)_exp</t>
  </si>
  <si>
    <t>Temperature (K)</t>
  </si>
  <si>
    <t>Pressure (bar)</t>
  </si>
  <si>
    <t>Density (l, kg/m3)</t>
  </si>
  <si>
    <t>Volume (l, m3/kg)</t>
  </si>
  <si>
    <t>Internal Energy (l, kJ/mol)</t>
  </si>
  <si>
    <t>Enthalpy (l, kJ/mol)</t>
  </si>
  <si>
    <t>Entropy (l, J/mol*K)</t>
  </si>
  <si>
    <t>Cv (l, J/mol*K)</t>
  </si>
  <si>
    <t>Cp (l, J/mol*K)</t>
  </si>
  <si>
    <t>Sound Spd. (l, m/s)</t>
  </si>
  <si>
    <t>Joule-Thomson (l, K/bar)</t>
  </si>
  <si>
    <t>Viscosity (l, uPa*s)</t>
  </si>
  <si>
    <t>Therm. Cond. (l, W/m*K)</t>
  </si>
  <si>
    <t>Surf. Tension (l, N/m)</t>
  </si>
  <si>
    <t>Density (v, kg/m3)</t>
  </si>
  <si>
    <t>Volume (v, m3/kg)</t>
  </si>
  <si>
    <t>Internal Energy (v, kJ/mol)</t>
  </si>
  <si>
    <t>Enthalpy (v, kJ/mol)</t>
  </si>
  <si>
    <t>Entropy (v, J/mol*K)</t>
  </si>
  <si>
    <t>Cv (v, J/mol*K)</t>
  </si>
  <si>
    <t>Cp (v, J/mol*K)</t>
  </si>
  <si>
    <t>Sound Spd. (v, m/s)</t>
  </si>
  <si>
    <t>Joule-Thomson (v, K/bar)</t>
  </si>
  <si>
    <t>Viscosity (v, uPa*s)</t>
  </si>
  <si>
    <t>Therm. Cond. (v, W/m*K)</t>
  </si>
  <si>
    <t>N/A</t>
  </si>
  <si>
    <t>∆H_{v} [kJ/kg]6</t>
  </si>
  <si>
    <t>del H (kJ/mol)</t>
  </si>
  <si>
    <t>MAPE_P</t>
  </si>
  <si>
    <t>MAPE_delH</t>
  </si>
  <si>
    <t>r50</t>
  </si>
  <si>
    <t>r170</t>
  </si>
  <si>
    <t>r14</t>
  </si>
  <si>
    <r>
      <t>T</t>
    </r>
    <r>
      <rPr>
        <b/>
        <sz val="11"/>
        <color rgb="FFFFFFFF"/>
        <rFont val="Open Sans"/>
        <family val="2"/>
      </rPr>
      <t> [K]</t>
    </r>
  </si>
  <si>
    <r>
      <t>ρ</t>
    </r>
    <r>
      <rPr>
        <b/>
        <vertAlign val="subscript"/>
        <sz val="7.5"/>
        <color rgb="FFFFFFFF"/>
        <rFont val="Open Sans"/>
        <family val="2"/>
      </rPr>
      <t>vap</t>
    </r>
    <r>
      <rPr>
        <b/>
        <sz val="11"/>
        <color rgb="FFFFFFFF"/>
        <rFont val="Open Sans"/>
        <family val="2"/>
      </rPr>
      <t> [g/ml]</t>
    </r>
  </si>
  <si>
    <r>
      <t>ρ</t>
    </r>
    <r>
      <rPr>
        <b/>
        <vertAlign val="subscript"/>
        <sz val="7.5"/>
        <color rgb="FFFFFFFF"/>
        <rFont val="Open Sans"/>
        <family val="2"/>
      </rPr>
      <t>liq</t>
    </r>
    <r>
      <rPr>
        <b/>
        <sz val="11"/>
        <color rgb="FFFFFFFF"/>
        <rFont val="Open Sans"/>
        <family val="2"/>
      </rPr>
      <t> [g/ml]</t>
    </r>
  </si>
  <si>
    <r>
      <t>P</t>
    </r>
    <r>
      <rPr>
        <b/>
        <vertAlign val="subscript"/>
        <sz val="7.5"/>
        <color rgb="FFFFFFFF"/>
        <rFont val="Open Sans"/>
        <family val="2"/>
      </rPr>
      <t>vap</t>
    </r>
    <r>
      <rPr>
        <b/>
        <sz val="11"/>
        <color rgb="FFFFFFFF"/>
        <rFont val="Open Sans"/>
        <family val="2"/>
      </rPr>
      <t> [kPa]</t>
    </r>
  </si>
  <si>
    <t>Density</t>
  </si>
  <si>
    <t>kpa/bar</t>
  </si>
  <si>
    <t>(kg/m^3)/(g/mL)</t>
  </si>
  <si>
    <r>
      <t>ρ</t>
    </r>
    <r>
      <rPr>
        <b/>
        <vertAlign val="subscript"/>
        <sz val="7.5"/>
        <color rgb="FFFFFFFF"/>
        <rFont val="Open Sans"/>
        <family val="2"/>
      </rPr>
      <t>vap</t>
    </r>
    <r>
      <rPr>
        <b/>
        <sz val="11"/>
        <color rgb="FFFFFFFF"/>
        <rFont val="Open Sans"/>
        <family val="2"/>
      </rPr>
      <t> [kg/m^3]</t>
    </r>
  </si>
  <si>
    <r>
      <t>ρ</t>
    </r>
    <r>
      <rPr>
        <b/>
        <vertAlign val="subscript"/>
        <sz val="7.5"/>
        <color rgb="FFFFFFFF"/>
        <rFont val="Open Sans"/>
        <family val="2"/>
      </rPr>
      <t>liq</t>
    </r>
    <r>
      <rPr>
        <b/>
        <sz val="11"/>
        <color rgb="FFFFFFFF"/>
        <rFont val="Open Sans"/>
        <family val="2"/>
      </rPr>
      <t> [kg/m^3]</t>
    </r>
  </si>
  <si>
    <r>
      <t>P</t>
    </r>
    <r>
      <rPr>
        <b/>
        <vertAlign val="subscript"/>
        <sz val="7.5"/>
        <color rgb="FFFFFFFF"/>
        <rFont val="Open Sans"/>
        <family val="2"/>
      </rPr>
      <t>vap</t>
    </r>
    <r>
      <rPr>
        <b/>
        <sz val="11"/>
        <color rgb="FFFFFFFF"/>
        <rFont val="Open Sans"/>
        <family val="2"/>
      </rPr>
      <t> [bar]</t>
    </r>
  </si>
  <si>
    <r>
      <t>delH</t>
    </r>
    <r>
      <rPr>
        <b/>
        <sz val="11"/>
        <color rgb="FFFFFFFF"/>
        <rFont val="Open Sans"/>
        <family val="2"/>
      </rPr>
      <t> [kJ/kg]</t>
    </r>
  </si>
  <si>
    <t>1/T</t>
  </si>
  <si>
    <t>a</t>
  </si>
  <si>
    <t>b</t>
  </si>
  <si>
    <t>T</t>
  </si>
  <si>
    <t>model coeff</t>
  </si>
  <si>
    <t>H_0</t>
  </si>
  <si>
    <t xml:space="preserve">dP/dT= </t>
  </si>
  <si>
    <r>
      <t>delV</t>
    </r>
    <r>
      <rPr>
        <b/>
        <sz val="11"/>
        <color rgb="FFFFFFFF"/>
        <rFont val="Open Sans"/>
        <family val="2"/>
      </rPr>
      <t> [kg/m^3]</t>
    </r>
  </si>
  <si>
    <t>ln(P)</t>
  </si>
  <si>
    <t>R</t>
  </si>
  <si>
    <t>kJ/molK</t>
  </si>
  <si>
    <t>V_liq</t>
  </si>
  <si>
    <t>V_vap</t>
  </si>
  <si>
    <t>del_V</t>
  </si>
  <si>
    <t>H_vap = H_0 + aT + bT^2</t>
  </si>
  <si>
    <t>P</t>
  </si>
  <si>
    <t>P_model</t>
  </si>
  <si>
    <t>T2</t>
  </si>
  <si>
    <t>T1</t>
  </si>
  <si>
    <t>PT2</t>
  </si>
  <si>
    <t>PT1</t>
  </si>
  <si>
    <t>delH</t>
  </si>
  <si>
    <t>r50_trappe</t>
  </si>
  <si>
    <t>NOTE: Used WebPlotDigitizer to take results from graph in Trappe paper and create a quadratic function to fit Hvap</t>
  </si>
  <si>
    <t>NOTE: Used WebPlotDigitizer to take simulation results from graph for Methane (r50) in Trappe paper and create a quadratic function to fit Hvap</t>
  </si>
  <si>
    <t>r170_trappe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</si>
</sst>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Open Sans"/>
      <family val="2"/>
    </font>
    <font>
      <b/>
      <i/>
      <sz val="8"/>
      <color rgb="FFFFFFFF"/>
      <name val="Open Sans"/>
      <family val="2"/>
    </font>
    <font>
      <b/>
      <i/>
      <sz val="16.5"/>
      <color rgb="FFFFFFFF"/>
      <name val="Times New Roman"/>
      <family val="1"/>
    </font>
    <font>
      <b/>
      <vertAlign val="subscript"/>
      <sz val="7.5"/>
      <color rgb="FFFFFFFF"/>
      <name val="Open Sans"/>
      <family val="2"/>
    </font>
    <font>
      <sz val="11"/>
      <color rgb="FF000000"/>
      <name val="Open Sans"/>
      <family val="2"/>
    </font>
    <font>
      <sz val="7"/>
      <color rgb="FF21212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726F2D"/>
        <bgColor indexed="64"/>
      </patternFill>
    </fill>
    <fill>
      <patternFill patternType="solid">
        <fgColor rgb="FFF0E9D1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0" xfId="0" applyFont="1" applyFill="1" applyBorder="1"/>
    <xf numFmtId="0" fontId="2" fillId="0" borderId="0" xfId="0" applyFont="1"/>
    <xf numFmtId="0" fontId="0" fillId="0" borderId="0" xfId="0" applyNumberFormat="1"/>
    <xf numFmtId="0" fontId="0" fillId="3" borderId="2" xfId="0" applyFont="1" applyFill="1" applyBorder="1" applyAlignment="1">
      <alignment horizontal="right"/>
    </xf>
    <xf numFmtId="164" fontId="0" fillId="0" borderId="0" xfId="0" applyNumberFormat="1"/>
    <xf numFmtId="0" fontId="4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0" fillId="0" borderId="0" xfId="0" quotePrefix="1"/>
    <xf numFmtId="0" fontId="8" fillId="0" borderId="0" xfId="0" applyFont="1"/>
    <xf numFmtId="11" fontId="0" fillId="0" borderId="0" xfId="0" applyNumberFormat="1"/>
    <xf numFmtId="11" fontId="8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Clapyeron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'r50_Trappe'!$G$11</c:f>
              <c:strCache>
                <c:ptCount val="1"/>
                <c:pt idx="0">
                  <c:v>ln(P)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085557649192504E-2"/>
                  <c:y val="9.05305204196414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'r50_Trappe'!$F$12:$F$17</c:f>
              <c:numCache>
                <c:formatCode>General</c:formatCode>
                <c:ptCount val="6"/>
                <c:pt idx="0">
                  <c:v>105</c:v>
                </c:pt>
                <c:pt idx="1">
                  <c:v>120</c:v>
                </c:pt>
                <c:pt idx="2">
                  <c:v>135</c:v>
                </c:pt>
                <c:pt idx="3">
                  <c:v>150</c:v>
                </c:pt>
                <c:pt idx="4">
                  <c:v>165</c:v>
                </c:pt>
                <c:pt idx="5">
                  <c:v>175</c:v>
                </c:pt>
              </c:numCache>
            </c:numRef>
          </c:xVal>
          <c:yVal>
            <c:numRef>
              <c:f>'r50_Trappe'!$G$12:$G$17</c:f>
              <c:numCache>
                <c:formatCode>General</c:formatCode>
                <c:ptCount val="6"/>
                <c:pt idx="0">
                  <c:v>-0.41551544396166579</c:v>
                </c:pt>
                <c:pt idx="1">
                  <c:v>0.72270598280148979</c:v>
                </c:pt>
                <c:pt idx="2">
                  <c:v>1.6114359150967734</c:v>
                </c:pt>
                <c:pt idx="3">
                  <c:v>2.4518667957098002</c:v>
                </c:pt>
                <c:pt idx="4">
                  <c:v>3.0155349008501706</c:v>
                </c:pt>
                <c:pt idx="5">
                  <c:v>3.3638415951183864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D-4683-AEF0-AAD652B42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705072"/>
        <c:axId val="1440708816"/>
      </c:scatterChart>
      <c:valAx>
        <c:axId val="1440705072"/>
        <c:scaling>
          <c:orientation val="minMax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08816"/>
        <c:crosses val="autoZero"/>
        <c:crossBetween val="midCat"/>
      </c:valAx>
      <c:valAx>
        <c:axId val="14407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(P)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0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25424321959755"/>
                  <c:y val="9.7951297754447363E-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'r50_Trappe'!$P$17:$P$22</c:f>
              <c:numCache>
                <c:formatCode>General</c:formatCode>
                <c:ptCount val="6"/>
                <c:pt idx="0">
                  <c:v>104.694809313634</c:v>
                </c:pt>
                <c:pt idx="1">
                  <c:v>119.699137088035</c:v>
                </c:pt>
                <c:pt idx="2">
                  <c:v>134.696031662129</c:v>
                </c:pt>
                <c:pt idx="3">
                  <c:v>149.68053756904601</c:v>
                </c:pt>
                <c:pt idx="4">
                  <c:v>164.64274387504199</c:v>
                </c:pt>
                <c:pt idx="5">
                  <c:v>174.42318365620901</c:v>
                </c:pt>
              </c:numCache>
            </c:numRef>
          </c:xVal>
          <c:yVal>
            <c:numRef>
              <c:f>'r50_Trappe'!$Q$17:$Q$22</c:f>
              <c:numCache>
                <c:formatCode>General</c:formatCode>
                <c:ptCount val="6"/>
                <c:pt idx="0">
                  <c:v>8.3439490445859903</c:v>
                </c:pt>
                <c:pt idx="1">
                  <c:v>7.8662420382165603</c:v>
                </c:pt>
                <c:pt idx="2">
                  <c:v>7.2929936305732497</c:v>
                </c:pt>
                <c:pt idx="3">
                  <c:v>6.5605095541401299</c:v>
                </c:pt>
                <c:pt idx="4">
                  <c:v>5.5414012738853504</c:v>
                </c:pt>
                <c:pt idx="5">
                  <c:v>4.5859872611464896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4-4605-A7B6-D589CDECA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232304"/>
        <c:axId val="1443248944"/>
      </c:scatterChart>
      <c:valAx>
        <c:axId val="144323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48944"/>
        <c:crosses val="autoZero"/>
        <c:crossBetween val="midCat"/>
      </c:valAx>
      <c:valAx>
        <c:axId val="14432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3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Clapyeron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'r170_Trappe'!$G$11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1.7225E+02e</a:t>
                    </a:r>
                    <a:r>
                      <a:rPr lang="en-US" sz="1200" baseline="30000"/>
                      <a:t>3.5598E-02x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9.8909E-01</a:t>
                    </a:r>
                    <a:endParaRPr lang="en-US" sz="1200"/>
                  </a:p>
                </c:rich>
              </c:tx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'r170_Trappe'!$F$12:$F$17</c:f>
              <c:numCache>
                <c:formatCode>General</c:formatCode>
                <c:ptCount val="6"/>
                <c:pt idx="0">
                  <c:v>185</c:v>
                </c:pt>
                <c:pt idx="1">
                  <c:v>215</c:v>
                </c:pt>
                <c:pt idx="2">
                  <c:v>230</c:v>
                </c:pt>
                <c:pt idx="3">
                  <c:v>245</c:v>
                </c:pt>
                <c:pt idx="4">
                  <c:v>260</c:v>
                </c:pt>
                <c:pt idx="5">
                  <c:v>275</c:v>
                </c:pt>
              </c:numCache>
            </c:numRef>
          </c:xVal>
          <c:yVal>
            <c:numRef>
              <c:f>'r170_Trappe'!$G$12:$G$17</c:f>
              <c:numCache>
                <c:formatCode>General</c:formatCode>
                <c:ptCount val="6"/>
                <c:pt idx="0">
                  <c:v>101000</c:v>
                </c:pt>
                <c:pt idx="1">
                  <c:v>447000</c:v>
                </c:pt>
                <c:pt idx="2">
                  <c:v>688000</c:v>
                </c:pt>
                <c:pt idx="3">
                  <c:v>1140000</c:v>
                </c:pt>
                <c:pt idx="4">
                  <c:v>1750000</c:v>
                </c:pt>
                <c:pt idx="5">
                  <c:v>2650000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F-44AD-81BB-BBC0C579B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235632"/>
        <c:axId val="1443232304"/>
      </c:scatterChart>
      <c:valAx>
        <c:axId val="144323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32304"/>
        <c:crosses val="autoZero"/>
        <c:crossBetween val="midCat"/>
      </c:valAx>
      <c:valAx>
        <c:axId val="14432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3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'r170_Trappe'!$I$28</c:f>
              <c:strCache>
                <c:ptCount val="1"/>
                <c:pt idx="0">
                  <c:v>del_V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4705134514435699E-2"/>
                  <c:y val="-0.5932950568678915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'r170_Trappe'!$F$29:$F$34</c:f>
              <c:numCache>
                <c:formatCode>General</c:formatCode>
                <c:ptCount val="6"/>
                <c:pt idx="0">
                  <c:v>185</c:v>
                </c:pt>
                <c:pt idx="1">
                  <c:v>215</c:v>
                </c:pt>
                <c:pt idx="2">
                  <c:v>230</c:v>
                </c:pt>
                <c:pt idx="3">
                  <c:v>245</c:v>
                </c:pt>
                <c:pt idx="4">
                  <c:v>260</c:v>
                </c:pt>
                <c:pt idx="5">
                  <c:v>275</c:v>
                </c:pt>
              </c:numCache>
            </c:numRef>
          </c:xVal>
          <c:yVal>
            <c:numRef>
              <c:f>'r170_Trappe'!$I$29:$I$34</c:f>
              <c:numCache>
                <c:formatCode>General</c:formatCode>
                <c:ptCount val="6"/>
                <c:pt idx="0">
                  <c:v>0.49564711417729479</c:v>
                </c:pt>
                <c:pt idx="1">
                  <c:v>0.11804039021752046</c:v>
                </c:pt>
                <c:pt idx="2">
                  <c:v>7.9461248477610796E-2</c:v>
                </c:pt>
                <c:pt idx="3">
                  <c:v>4.753983290095299E-2</c:v>
                </c:pt>
                <c:pt idx="4">
                  <c:v>2.9613524479469001E-2</c:v>
                </c:pt>
                <c:pt idx="5">
                  <c:v>1.6555524459327738E-2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A-4126-A25F-59446F530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765008"/>
        <c:axId val="1325764592"/>
      </c:scatterChart>
      <c:valAx>
        <c:axId val="132576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764592"/>
        <c:crosses val="autoZero"/>
        <c:crossBetween val="midCat"/>
      </c:valAx>
      <c:valAx>
        <c:axId val="1325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76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'r170_Trappe'!$H$11</c:f>
              <c:strCache>
                <c:ptCount val="1"/>
                <c:pt idx="0">
                  <c:v>ln(P)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502843394575681E-2"/>
                  <c:y val="0.12588644264194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'r170_Trappe'!$E$12:$E$17</c:f>
              <c:numCache>
                <c:formatCode>General</c:formatCode>
                <c:ptCount val="6"/>
                <c:pt idx="0">
                  <c:v>5.4054054054054057E-3</c:v>
                </c:pt>
                <c:pt idx="1">
                  <c:v>4.6511627906976744E-3</c:v>
                </c:pt>
                <c:pt idx="2">
                  <c:v>4.3478260869565218E-3</c:v>
                </c:pt>
                <c:pt idx="3">
                  <c:v>4.0816326530612249E-3</c:v>
                </c:pt>
                <c:pt idx="4">
                  <c:v>3.8461538461538464E-3</c:v>
                </c:pt>
                <c:pt idx="5">
                  <c:v>3.6363636363636364E-3</c:v>
                </c:pt>
              </c:numCache>
            </c:numRef>
          </c:xVal>
          <c:yVal>
            <c:numRef>
              <c:f>'r170_Trappe'!$H$12:$H$17</c:f>
              <c:numCache>
                <c:formatCode>General</c:formatCode>
                <c:ptCount val="6"/>
                <c:pt idx="0">
                  <c:v>11.522875795823397</c:v>
                </c:pt>
                <c:pt idx="1">
                  <c:v>13.010313873595706</c:v>
                </c:pt>
                <c:pt idx="2">
                  <c:v>13.44154411691548</c:v>
                </c:pt>
                <c:pt idx="3">
                  <c:v>13.946538820370678</c:v>
                </c:pt>
                <c:pt idx="4">
                  <c:v>14.375126345899696</c:v>
                </c:pt>
                <c:pt idx="5">
                  <c:v>14.790070197962406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B-48E1-A9E2-0B0498310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1008"/>
        <c:axId val="1344443920"/>
      </c:scatterChart>
      <c:valAx>
        <c:axId val="134444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920"/>
        <c:crosses val="autoZero"/>
        <c:crossBetween val="midCat"/>
      </c:valAx>
      <c:valAx>
        <c:axId val="13444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'r170_Trappe'!$F$2:$F$7</c:f>
              <c:numCache>
                <c:formatCode>General</c:formatCode>
                <c:ptCount val="6"/>
                <c:pt idx="0">
                  <c:v>185</c:v>
                </c:pt>
                <c:pt idx="1">
                  <c:v>215</c:v>
                </c:pt>
                <c:pt idx="2">
                  <c:v>230</c:v>
                </c:pt>
                <c:pt idx="3">
                  <c:v>245</c:v>
                </c:pt>
                <c:pt idx="4">
                  <c:v>260</c:v>
                </c:pt>
                <c:pt idx="5">
                  <c:v>275</c:v>
                </c:pt>
              </c:numCache>
            </c:numRef>
          </c:xVal>
          <c:yVal>
            <c:numRef>
              <c:f>'r170_Trappe'!$P$2:$P$7</c:f>
              <c:numCache>
                <c:formatCode>0.00</c:formatCode>
                <c:ptCount val="6"/>
                <c:pt idx="0">
                  <c:v>488.8347</c:v>
                </c:pt>
                <c:pt idx="1">
                  <c:v>444.14200000000005</c:v>
                </c:pt>
                <c:pt idx="2">
                  <c:v>416.76</c:v>
                </c:pt>
                <c:pt idx="3">
                  <c:v>384.5</c:v>
                </c:pt>
                <c:pt idx="4">
                  <c:v>345.36</c:v>
                </c:pt>
                <c:pt idx="5">
                  <c:v>295.63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5-4A22-AAD7-9CBC0FCA8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386112"/>
        <c:axId val="1342386944"/>
      </c:scatterChart>
      <c:valAx>
        <c:axId val="13423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86944"/>
        <c:crosses val="autoZero"/>
        <c:crossBetween val="midCat"/>
      </c:valAx>
      <c:valAx>
        <c:axId val="13423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79374</xdr:colOff>
      <xdr:row>15</xdr:row>
      <xdr:rowOff>79374</xdr:rowOff>
    </xdr:from>
    <xdr:to>
      <xdr:col>13</xdr:col>
      <xdr:colOff>590550</xdr:colOff>
      <xdr:row>33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E0C85-BE9C-9971-5F71-30B664822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360362</xdr:colOff>
      <xdr:row>8</xdr:row>
      <xdr:rowOff>73025</xdr:rowOff>
    </xdr:from>
    <xdr:to>
      <xdr:col>26</xdr:col>
      <xdr:colOff>55562</xdr:colOff>
      <xdr:row>23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26E054-5555-68B1-9EF6-306310FF9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563562</xdr:colOff>
      <xdr:row>14</xdr:row>
      <xdr:rowOff>15875</xdr:rowOff>
    </xdr:from>
    <xdr:to>
      <xdr:col>27</xdr:col>
      <xdr:colOff>192087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2BAAC-93B9-032F-0521-5490C6E9B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354012</xdr:colOff>
      <xdr:row>29</xdr:row>
      <xdr:rowOff>111125</xdr:rowOff>
    </xdr:from>
    <xdr:to>
      <xdr:col>14</xdr:col>
      <xdr:colOff>944562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6E2058-CBD2-6290-885A-2B7042A69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350837</xdr:colOff>
      <xdr:row>0</xdr:row>
      <xdr:rowOff>187325</xdr:rowOff>
    </xdr:from>
    <xdr:to>
      <xdr:col>28</xdr:col>
      <xdr:colOff>588962</xdr:colOff>
      <xdr:row>13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7D5917-AAF4-CBA4-7E97-DE37F3707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180975</xdr:colOff>
      <xdr:row>29</xdr:row>
      <xdr:rowOff>120650</xdr:rowOff>
    </xdr:from>
    <xdr:to>
      <xdr:col>21</xdr:col>
      <xdr:colOff>549275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42BBA-4DDA-7BB4-A332-38D4C2EB3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EF274EB-C302-48D8-9A00-B4DBC4B5115E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T (K)" tableColumnId="1"/>
      <queryTableField id="2" name="ρ_{l} (kg/m^{3} )" tableColumnId="2"/>
      <queryTableField id="3" name="ρ_{v} (kg/m^{3} )" tableColumnId="3"/>
      <queryTableField id="4" name="P(bar)" tableColumnId="4"/>
      <queryTableField id="5" name="∆H_{v} [kJ/mol]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4721D70-3220-42EA-B8C3-3F0792CACA66}" autoFormatId="16" applyNumberFormats="0" applyBorderFormats="0" applyFontFormats="0" applyPatternFormats="0" applyAlignmentFormats="0" applyWidthHeightFormats="0">
  <queryTableRefresh nextId="11" unboundColumnsRight="4">
    <queryTableFields count="9">
      <queryTableField id="1" name="T (K)" tableColumnId="1"/>
      <queryTableField id="3" name="ρ_{v} (kg/m^{3} )" tableColumnId="3"/>
      <queryTableField id="4" name="P(bar)" tableColumnId="4"/>
      <queryTableField id="2" name="ρ_{l} (kg/m^{3} )" tableColumnId="2"/>
      <queryTableField id="5" name="∆H_{v} [kJ/mol]" tableColumnId="5"/>
      <queryTableField id="6" dataBound="0" tableColumnId="6"/>
      <queryTableField id="8" dataBound="0" tableColumnId="7"/>
      <queryTableField id="9" dataBound="0" tableColumnId="8"/>
      <queryTableField id="10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186CC15-AC94-4147-BD82-E7DD12A059F3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T (K)" tableColumnId="1"/>
      <queryTableField id="2" name="ρ_{l} (kg/m^{3} )" tableColumnId="2"/>
      <queryTableField id="3" name="ρ_{v} (kg/m^{3} )" tableColumnId="3"/>
      <queryTableField id="4" name="P(bar)" tableColumnId="4"/>
      <queryTableField id="5" name="∆H_{v} [kJ/mol]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0D290005-6E2A-4F2E-9AC8-B7C50D7FF507}" autoFormatId="16" applyNumberFormats="0" applyBorderFormats="0" applyFontFormats="0" applyPatternFormats="0" applyAlignmentFormats="0" applyWidthHeightFormats="0">
  <queryTableRefresh nextId="16" unboundColumnsRight="10">
    <queryTableFields count="15">
      <queryTableField id="1" name="T (K)" tableColumnId="1"/>
      <queryTableField id="2" name="ρ_{l} (kg/m^{3} )" tableColumnId="2"/>
      <queryTableField id="3" name="ρ_{v} (kg/m^{3} )" tableColumnId="3"/>
      <queryTableField id="4" name="P(bar)" tableColumnId="4"/>
      <queryTableField id="5" name="∆H_{v} [kJ/mol]" tableColumnId="5"/>
      <queryTableField id="15" dataBound="0" tableColumnId="1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F1C884-AF48-428A-9814-FF33ADDD0C5B}" autoFormatId="16" applyNumberFormats="0" applyBorderFormats="0" applyFontFormats="0" applyPatternFormats="0" applyAlignmentFormats="0" applyWidthHeightFormats="0">
  <queryTableRefresh nextId="27" unboundColumnsRight="1">
    <queryTableFields count="26">
      <queryTableField id="1" name="Temperature (K)" tableColumnId="1"/>
      <queryTableField id="2" name="Pressure (bar)" tableColumnId="2"/>
      <queryTableField id="3" name="Density (l, kg/m3)" tableColumnId="3"/>
      <queryTableField id="4" name="Volume (l, m3/kg)" tableColumnId="4"/>
      <queryTableField id="5" name="Internal Energy (l, kJ/mol)" tableColumnId="5"/>
      <queryTableField id="6" name="Enthalpy (l, kJ/mol)" tableColumnId="6"/>
      <queryTableField id="7" name="Entropy (l, J/mol*K)" tableColumnId="7"/>
      <queryTableField id="8" name="Cv (l, J/mol*K)" tableColumnId="8"/>
      <queryTableField id="9" name="Cp (l, J/mol*K)" tableColumnId="9"/>
      <queryTableField id="10" name="Sound Spd. (l, m/s)" tableColumnId="10"/>
      <queryTableField id="11" name="Joule-Thomson (l, K/bar)" tableColumnId="11"/>
      <queryTableField id="12" name="Viscosity (l, uPa*s)" tableColumnId="12"/>
      <queryTableField id="13" name="Therm. Cond. (l, W/m*K)" tableColumnId="13"/>
      <queryTableField id="14" name="Surf. Tension (l, N/m)" tableColumnId="14"/>
      <queryTableField id="15" name="Density (v, kg/m3)" tableColumnId="15"/>
      <queryTableField id="16" name="Volume (v, m3/kg)" tableColumnId="16"/>
      <queryTableField id="17" name="Internal Energy (v, kJ/mol)" tableColumnId="17"/>
      <queryTableField id="18" name="Enthalpy (v, kJ/mol)" tableColumnId="18"/>
      <queryTableField id="19" name="Entropy (v, J/mol*K)" tableColumnId="19"/>
      <queryTableField id="20" name="Cv (v, J/mol*K)" tableColumnId="20"/>
      <queryTableField id="21" name="Cp (v, J/mol*K)" tableColumnId="21"/>
      <queryTableField id="22" name="Sound Spd. (v, m/s)" tableColumnId="22"/>
      <queryTableField id="23" name="Joule-Thomson (v, K/bar)" tableColumnId="23"/>
      <queryTableField id="24" name="Viscosity (v, uPa*s)" tableColumnId="24"/>
      <queryTableField id="25" name="Therm. Cond. (v, W/m*K)" tableColumnId="25"/>
      <queryTableField id="26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5F364-46AD-492B-A75C-D32C8F8DA0BA}" name="Table002__Page_7" displayName="Table002__Page_7" ref="A1:F19" tableType="queryTable" totalsRowShown="0">
  <autoFilter ref="A1:F19" xr:uid="{6635F364-46AD-492B-A75C-D32C8F8DA0BA}"/>
  <tableColumns count="6">
    <tableColumn id="1" xr3:uid="{FD8E4B58-D5FE-46ED-8CBF-C9A4637518E3}" uniqueName="1" name="T (K)" queryTableFieldId="1"/>
    <tableColumn id="2" xr3:uid="{EF440799-3CFF-487A-95E8-47C2C2034ACD}" uniqueName="2" name="ρ_{l} (kg/m^{3} )" queryTableFieldId="2"/>
    <tableColumn id="3" xr3:uid="{F7BD5699-1432-4FC5-89DD-6F33C03A8B55}" uniqueName="3" name="ρ_{v} (kg/m^{3} )" queryTableFieldId="3"/>
    <tableColumn id="4" xr3:uid="{E24161EB-D7B3-4FD9-B256-0B262DDED0AB}" uniqueName="4" name="P(bar)" queryTableFieldId="4"/>
    <tableColumn id="5" xr3:uid="{80C147F4-B008-4DA7-9A39-35577E47B5BC}" uniqueName="5" name="∆H_{v} [kJ/mol]" queryTableFieldId="5"/>
    <tableColumn id="6" xr3:uid="{BE0E5C3B-53CE-4291-85E9-E0239F9E3D35}" uniqueName="6" name="∆H_{v} [kJ/kg]" queryTableFieldId="6" dataDxfId="4">
      <calculatedColumnFormula>Table002__Page_7[[#This Row],[∆H_{v} '[kJ/mol']]]*$A$22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BC3203-A3CE-40C3-9225-FE3AAB227155}" name="Table002__Page_75" displayName="Table002__Page_75" ref="G1:O19" tableType="queryTable" totalsRowShown="0">
  <autoFilter ref="G1:O19" xr:uid="{A0BC3203-A3CE-40C3-9225-FE3AAB227155}"/>
  <tableColumns count="9">
    <tableColumn id="1" xr3:uid="{3E1B816C-1EC0-4838-BB9E-CFA7B42FDC52}" uniqueName="1" name="T (K)" queryTableFieldId="1"/>
    <tableColumn id="3" xr3:uid="{2684FD0B-68AD-4B97-AEA4-82B78A1DE7B3}" uniqueName="3" name="ρ_{l} (kg/m^{3} )" queryTableFieldId="3"/>
    <tableColumn id="4" xr3:uid="{72C9AEAB-17EA-4709-8004-9792A0E38197}" uniqueName="4" name="ρ_{v} (kg/m^{3} )2" queryTableFieldId="4"/>
    <tableColumn id="2" xr3:uid="{B81DC184-D03E-448D-A9C3-21ECD132BFEC}" uniqueName="2" name="P(bar)" queryTableFieldId="2"/>
    <tableColumn id="5" xr3:uid="{623E555C-62DB-4FE4-B01D-EEC97540CBB4}" uniqueName="5" name="∆H_{v} [kJ/kg]" queryTableFieldId="5"/>
    <tableColumn id="6" xr3:uid="{5A654383-9F1E-40F1-917A-3B9B4F6AD08A}" uniqueName="6" name="APE_rho_l" queryTableFieldId="6" dataDxfId="3">
      <calculatedColumnFormula>Table002__Page_75[[#This Row],[∆H_{v} '[kJ/kg']]]*$A$22</calculatedColumnFormula>
    </tableColumn>
    <tableColumn id="7" xr3:uid="{F8D3B6DA-4A0C-488A-9526-ECA75A4CBC4D}" uniqueName="7" name="APE_rho_v" queryTableFieldId="8"/>
    <tableColumn id="8" xr3:uid="{455B2772-D2C5-43F6-BF09-17230A266159}" uniqueName="8" name="APE_P" queryTableFieldId="9"/>
    <tableColumn id="9" xr3:uid="{3D2FECBD-67B1-47E9-B75D-85E0FA215601}" uniqueName="9" name="APE_delH" queryTableFieldId="10">
      <calculatedColumnFormula>ABS((Table002__Page_75[[#This Row],[∆H_{v} '[kJ/kg']]]-Table002__Page_7[[#This Row],[∆H_{v} '[kJ/kg']]])/Table002__Page_75[[#This Row],[∆H_{v} '[kJ/kg']]])*100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828CFC-23B9-4CE5-BC91-ACB858B70BE5}" name="Table003__Page_8" displayName="Table003__Page_8" ref="A1:F17" tableType="queryTable" totalsRowShown="0">
  <autoFilter ref="A1:F17" xr:uid="{54828CFC-23B9-4CE5-BC91-ACB858B70BE5}"/>
  <tableColumns count="6">
    <tableColumn id="1" xr3:uid="{39233F16-7706-47F0-A0CE-761030F8BD5B}" uniqueName="1" name="T (K)" queryTableFieldId="1"/>
    <tableColumn id="2" xr3:uid="{8DCF527E-063E-4DF1-B5D5-5736ED090837}" uniqueName="2" name="ρ_{l} (kg/m^{3} )" queryTableFieldId="2"/>
    <tableColumn id="3" xr3:uid="{9E24C09D-7B54-42A3-AD60-E742711A9CC2}" uniqueName="3" name="ρ_{v} (kg/m^{3} )" queryTableFieldId="3"/>
    <tableColumn id="4" xr3:uid="{F5F43626-FF30-4779-B1EF-7A480EE8542A}" uniqueName="4" name="P(bar)" queryTableFieldId="4"/>
    <tableColumn id="5" xr3:uid="{2B3118B1-5C75-45B4-8BEF-A388FDB8478D}" uniqueName="5" name="∆H_{v} [kJ/mol]" queryTableFieldId="5"/>
    <tableColumn id="6" xr3:uid="{F3703AB8-D79E-4C6D-94F9-4897620E9589}" uniqueName="6" name="∆H_{v} [kJ/kg]" queryTableFieldId="6" dataDxfId="2">
      <calculatedColumnFormula>Table003__Page_8[[#This Row],[∆H_{v} '[kJ/mol']]]*$A$23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43D0EE-D8A1-40FE-9270-6DB404369B37}" name="Table011__Page_15" displayName="Table011__Page_15" ref="A1:O13" tableType="queryTable" totalsRowShown="0">
  <autoFilter ref="A1:O13" xr:uid="{6043D0EE-D8A1-40FE-9270-6DB404369B37}"/>
  <tableColumns count="15">
    <tableColumn id="1" xr3:uid="{D953B814-A854-424F-93A1-364F94F7CFF3}" uniqueName="1" name="T (K)" queryTableFieldId="1"/>
    <tableColumn id="2" xr3:uid="{575E5E46-BE95-453E-8A3A-E194EAF87FD1}" uniqueName="2" name="ρ_{l} (kg/m^{3} )" queryTableFieldId="2"/>
    <tableColumn id="3" xr3:uid="{5817E03C-516F-433E-B381-E1160275091E}" uniqueName="3" name="ρ_{v} (kg/m^{3} )" queryTableFieldId="3"/>
    <tableColumn id="4" xr3:uid="{CD4EF3F3-B9D8-4F48-9C6F-4F12C3639262}" uniqueName="4" name="P(bar)" queryTableFieldId="4"/>
    <tableColumn id="5" xr3:uid="{E60AA527-AA4E-4E10-8B10-C28A7207AB11}" uniqueName="5" name="∆H_{v} [kJ/mol]" queryTableFieldId="5"/>
    <tableColumn id="15" xr3:uid="{7A960589-3C90-4D72-BD21-5FD807BDCCC8}" uniqueName="15" name="∆H_{v} [kJ/kg]" queryTableFieldId="15" dataDxfId="1">
      <calculatedColumnFormula>Table011__Page_15[[#This Row],[∆H_{v} '[kJ/mol']]]*$A$18</calculatedColumnFormula>
    </tableColumn>
    <tableColumn id="6" xr3:uid="{9E67F4A9-A1B5-4AE6-A09C-806EC19C91DD}" uniqueName="6" name="T (K)_exp" queryTableFieldId="6"/>
    <tableColumn id="7" xr3:uid="{1E7BFB2D-4D9B-4645-87EA-C5E4A8A95778}" uniqueName="7" name="ρ_{l} (kg/m^{3} )3" queryTableFieldId="7"/>
    <tableColumn id="8" xr3:uid="{EC0241AA-8407-4100-9CEF-6368E390E800}" uniqueName="8" name="ρ_{v} (kg/m^{3} )4" queryTableFieldId="8"/>
    <tableColumn id="9" xr3:uid="{B914AE77-CC96-4C42-98AA-28854B3687F6}" uniqueName="9" name="P(bar)5" queryTableFieldId="9"/>
    <tableColumn id="10" xr3:uid="{E852C485-06FC-49A8-8173-69C983E20CF8}" uniqueName="10" name="∆H_{v} [kJ/kg]6" queryTableFieldId="10">
      <calculatedColumnFormula>(M15-L15)/1000</calculatedColumnFormula>
    </tableColumn>
    <tableColumn id="11" xr3:uid="{4D493188-2D5D-476B-8CA9-49B870CF267C}" uniqueName="11" name="APE_rho_l" queryTableFieldId="11"/>
    <tableColumn id="12" xr3:uid="{ABBC8892-E06F-41B1-87C0-CD43C04B3494}" uniqueName="12" name="APE_rho_v" queryTableFieldId="12"/>
    <tableColumn id="13" xr3:uid="{8CC0E67E-D20C-4B55-A762-228DA1016FE3}" uniqueName="13" name="APE_P" queryTableFieldId="13"/>
    <tableColumn id="14" xr3:uid="{F99DF696-ED0F-4C14-AE22-5426C6A74F2B}" uniqueName="14" name="APE_delH" queryTableField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F89618-4A04-4876-A60D-F0066320783B}" name="_r14_exp_data" displayName="_r14_exp_data" ref="A1:Z10" tableType="queryTable" totalsRowShown="0">
  <autoFilter ref="A1:Z10" xr:uid="{1AF89618-4A04-4876-A60D-F0066320783B}"/>
  <sortState xmlns:xlrd2="http://schemas.microsoft.com/office/spreadsheetml/2017/richdata2" ref="A2:Y10">
    <sortCondition descending="1" ref="A2:A10"/>
  </sortState>
  <tableColumns count="26">
    <tableColumn id="1" xr3:uid="{52C53934-1DA1-4106-82A7-D1F1B24F91E0}" uniqueName="1" name="Temperature (K)" queryTableFieldId="1"/>
    <tableColumn id="2" xr3:uid="{808AE4B8-83A7-4973-8BF3-E4003C6F97E2}" uniqueName="2" name="Pressure (bar)" queryTableFieldId="2"/>
    <tableColumn id="3" xr3:uid="{BF6E7DB9-F09A-481C-8850-C15180818622}" uniqueName="3" name="Density (l, kg/m3)" queryTableFieldId="3"/>
    <tableColumn id="4" xr3:uid="{5F0E285E-FEC3-49A9-A696-08B3A4EC2EE0}" uniqueName="4" name="Volume (l, m3/kg)" queryTableFieldId="4"/>
    <tableColumn id="5" xr3:uid="{4198D4CA-A809-4DA6-8C50-4409EA7446DF}" uniqueName="5" name="Internal Energy (l, kJ/mol)" queryTableFieldId="5"/>
    <tableColumn id="6" xr3:uid="{B0163829-A9DF-40FC-9A18-1660A62DF23B}" uniqueName="6" name="Enthalpy (l, kJ/mol)" queryTableFieldId="6"/>
    <tableColumn id="7" xr3:uid="{F38BCBEE-C78E-488F-8B99-6A66FD5A152A}" uniqueName="7" name="Entropy (l, J/mol*K)" queryTableFieldId="7"/>
    <tableColumn id="8" xr3:uid="{19590CBB-DCBF-402B-AB73-CF9DD0D35305}" uniqueName="8" name="Cv (l, J/mol*K)" queryTableFieldId="8"/>
    <tableColumn id="9" xr3:uid="{014D3624-B6B3-4A1A-BA4A-4D363DC8958B}" uniqueName="9" name="Cp (l, J/mol*K)" queryTableFieldId="9"/>
    <tableColumn id="10" xr3:uid="{FAB80464-ECC3-4DD1-BCD5-1A98354982E8}" uniqueName="10" name="Sound Spd. (l, m/s)" queryTableFieldId="10"/>
    <tableColumn id="11" xr3:uid="{F132DCC2-9A49-45CF-BBCC-9CA94BDCECD7}" uniqueName="11" name="Joule-Thomson (l, K/bar)" queryTableFieldId="11"/>
    <tableColumn id="12" xr3:uid="{ADC5FDA5-A3FF-417B-BA14-E38B95399AD0}" uniqueName="12" name="Viscosity (l, uPa*s)" queryTableFieldId="12"/>
    <tableColumn id="13" xr3:uid="{55D599C6-C891-444E-9F8F-30D24F72AEB4}" uniqueName="13" name="Therm. Cond. (l, W/m*K)" queryTableFieldId="13"/>
    <tableColumn id="14" xr3:uid="{F6D13FE8-2A1E-4BA8-86F0-6B8F8EBEFB54}" uniqueName="14" name="Surf. Tension (l, N/m)" queryTableFieldId="14"/>
    <tableColumn id="15" xr3:uid="{6B21417D-7FBB-4EB5-90C3-C2008A08A5EB}" uniqueName="15" name="Density (v, kg/m3)" queryTableFieldId="15"/>
    <tableColumn id="16" xr3:uid="{F7694378-BF83-4599-BA07-A097F1DF5B7E}" uniqueName="16" name="Volume (v, m3/kg)" queryTableFieldId="16"/>
    <tableColumn id="17" xr3:uid="{A6BE45E4-1228-450E-980F-436CCD81AC71}" uniqueName="17" name="Internal Energy (v, kJ/mol)" queryTableFieldId="17"/>
    <tableColumn id="18" xr3:uid="{AA6572B5-1FAF-4AFF-A099-F5742393C138}" uniqueName="18" name="Enthalpy (v, kJ/mol)" queryTableFieldId="18"/>
    <tableColumn id="19" xr3:uid="{55B408B4-70BF-4577-A7DE-2727ED643EFB}" uniqueName="19" name="Entropy (v, J/mol*K)" queryTableFieldId="19"/>
    <tableColumn id="20" xr3:uid="{8187D80C-CAFB-407C-9F5C-D46490F6A619}" uniqueName="20" name="Cv (v, J/mol*K)" queryTableFieldId="20"/>
    <tableColumn id="21" xr3:uid="{DC5EDF2A-75EE-40C1-AF04-71759D0758F5}" uniqueName="21" name="Cp (v, J/mol*K)" queryTableFieldId="21"/>
    <tableColumn id="22" xr3:uid="{2BF0397D-A558-4C86-9D4E-470C11EB32CA}" uniqueName="22" name="Sound Spd. (v, m/s)" queryTableFieldId="22"/>
    <tableColumn id="23" xr3:uid="{F53C144A-0012-4B1C-9BDB-7222380E077C}" uniqueName="23" name="Joule-Thomson (v, K/bar)" queryTableFieldId="23"/>
    <tableColumn id="24" xr3:uid="{7438FBD3-8764-46EF-9BF7-24BCE6283E1D}" uniqueName="24" name="Viscosity (v, uPa*s)" queryTableFieldId="24"/>
    <tableColumn id="25" xr3:uid="{4B101C90-0C71-42AA-889B-3D5495389D51}" uniqueName="25" name="Therm. Cond. (v, W/m*K)" queryTableFieldId="25"/>
    <tableColumn id="26" xr3:uid="{074593B8-BE8E-42DC-904B-1E2006C1795F}" uniqueName="26" name="del H (kJ/mol)" queryTableFieldId="26" dataDxfId="0">
      <calculatedColumnFormula>_r14_exp_data[[#This Row],[Enthalpy (v, kJ/mol)]]-_r14_exp_data[[#This Row],[Enthalpy (l, kJ/mol)]]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760A1-575A-4D16-8CF3-4220096C0933}">
  <dimension ref="A1:O37"/>
  <sheetViews>
    <sheetView workbookViewId="0">
      <selection activeCell="A20" sqref="A20:B22"/>
    </sheetView>
  </sheetViews>
  <sheetFormatPr baseColWidth="10" defaultColWidth="8.83203125" defaultRowHeight="15" x14ac:dyDescent="0.2"/>
  <cols>
    <col min="1" max="1" width="6.83203125" bestFit="1" customWidth="1"/>
    <col min="2" max="2" width="17.1640625" bestFit="1" customWidth="1"/>
    <col min="3" max="3" width="17.6640625" bestFit="1" customWidth="1"/>
    <col min="4" max="4" width="8.33203125" bestFit="1" customWidth="1"/>
    <col min="5" max="5" width="16.3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0</v>
      </c>
      <c r="H1" t="s">
        <v>1</v>
      </c>
      <c r="I1" t="s">
        <v>23</v>
      </c>
      <c r="J1" t="s">
        <v>3</v>
      </c>
      <c r="K1" t="s">
        <v>15</v>
      </c>
      <c r="L1" s="10" t="s">
        <v>10</v>
      </c>
      <c r="M1" s="10" t="s">
        <v>11</v>
      </c>
      <c r="N1" s="10" t="s">
        <v>12</v>
      </c>
      <c r="O1" s="10" t="s">
        <v>13</v>
      </c>
    </row>
    <row r="2" spans="1:15" x14ac:dyDescent="0.2">
      <c r="A2">
        <v>190</v>
      </c>
      <c r="B2">
        <v>236.947</v>
      </c>
      <c r="C2">
        <v>96.319000000000003</v>
      </c>
      <c r="D2">
        <v>45.238999999999997</v>
      </c>
      <c r="E2">
        <v>2.57</v>
      </c>
      <c r="F2">
        <f>Table002__Page_7[[#This Row],[∆H_{v} '[kJ/mol']]]*$A$22</f>
        <v>160.22443890274315</v>
      </c>
      <c r="G2">
        <v>190</v>
      </c>
      <c r="H2">
        <v>200.78</v>
      </c>
      <c r="I2">
        <v>125.18</v>
      </c>
      <c r="J2">
        <v>45.186</v>
      </c>
      <c r="K2">
        <f t="shared" ref="K2:K18" si="0">O21-N21</f>
        <v>80.759999999999991</v>
      </c>
      <c r="L2">
        <f>ABS((Table002__Page_75[[#This Row],[ρ_{l} (kg/m^{3} )]]-Table002__Page_7[[#This Row],[ρ_{l} (kg/m^{3} )]])/Table002__Page_75[[#This Row],[ρ_{l} (kg/m^{3} )]])*100</f>
        <v>18.013248331507121</v>
      </c>
      <c r="M2">
        <f>ABS((Table002__Page_75[[#This Row],[ρ_{v} (kg/m^{3} )2]]-Table002__Page_7[[#This Row],[ρ_{v} (kg/m^{3} )]])/Table002__Page_75[[#This Row],[ρ_{v} (kg/m^{3} )2]])*100</f>
        <v>23.05559993609203</v>
      </c>
      <c r="N2">
        <f>ABS((Table002__Page_75[[#This Row],[P(bar)]]-Table002__Page_7[[#This Row],[P(bar)]])/Table002__Page_75[[#This Row],[P(bar)]])*100</f>
        <v>0.11729296684813277</v>
      </c>
      <c r="O2">
        <f>ABS((Table002__Page_75[[#This Row],[∆H_{v} '[kJ/kg']]]-Table002__Page_7[[#This Row],[∆H_{v} '[kJ/kg']]])/Table002__Page_75[[#This Row],[∆H_{v} '[kJ/kg']]])*100</f>
        <v>98.395788636383301</v>
      </c>
    </row>
    <row r="3" spans="1:15" x14ac:dyDescent="0.2">
      <c r="A3">
        <v>180</v>
      </c>
      <c r="B3">
        <v>279.51600000000002</v>
      </c>
      <c r="C3">
        <v>58.706000000000003</v>
      </c>
      <c r="D3">
        <v>32.954999999999998</v>
      </c>
      <c r="E3">
        <v>4.194</v>
      </c>
      <c r="F3">
        <f>Table002__Page_7[[#This Row],[∆H_{v} '[kJ/mol']]]*$A$22</f>
        <v>261.47132169576065</v>
      </c>
      <c r="G3">
        <v>180</v>
      </c>
      <c r="H3">
        <v>276.23</v>
      </c>
      <c r="I3">
        <v>61.375</v>
      </c>
      <c r="J3">
        <v>32.851999999999997</v>
      </c>
      <c r="K3">
        <f t="shared" si="0"/>
        <v>246.89000000000004</v>
      </c>
      <c r="L3">
        <f>ABS((Table002__Page_75[[#This Row],[ρ_{l} (kg/m^{3} )]]-Table002__Page_7[[#This Row],[ρ_{l} (kg/m^{3} )]])/Table002__Page_75[[#This Row],[ρ_{l} (kg/m^{3} )]])*100</f>
        <v>1.18958838648952</v>
      </c>
      <c r="M3">
        <f>ABS((Table002__Page_75[[#This Row],[ρ_{v} (kg/m^{3} )2]]-Table002__Page_7[[#This Row],[ρ_{v} (kg/m^{3} )]])/Table002__Page_75[[#This Row],[ρ_{v} (kg/m^{3} )2]])*100</f>
        <v>4.3486761710794246</v>
      </c>
      <c r="N3">
        <f>ABS((Table002__Page_75[[#This Row],[P(bar)]]-Table002__Page_7[[#This Row],[P(bar)]])/Table002__Page_75[[#This Row],[P(bar)]])*100</f>
        <v>0.31352733471326416</v>
      </c>
      <c r="O3">
        <f>ABS((Table002__Page_75[[#This Row],[∆H_{v} '[kJ/kg']]]-Table002__Page_7[[#This Row],[∆H_{v} '[kJ/kg']]])/Table002__Page_75[[#This Row],[∆H_{v} '[kJ/kg']]])*100</f>
        <v>5.9059993097171226</v>
      </c>
    </row>
    <row r="4" spans="1:15" x14ac:dyDescent="0.2">
      <c r="A4">
        <v>170</v>
      </c>
      <c r="B4">
        <v>312.322</v>
      </c>
      <c r="C4">
        <v>37.427</v>
      </c>
      <c r="D4">
        <v>23.402000000000001</v>
      </c>
      <c r="E4">
        <v>5.3730000000000002</v>
      </c>
      <c r="F4">
        <f>Table002__Page_7[[#This Row],[∆H_{v} '[kJ/mol']]]*$A$22</f>
        <v>334.9750623441397</v>
      </c>
      <c r="G4">
        <v>170</v>
      </c>
      <c r="H4">
        <v>310.5</v>
      </c>
      <c r="I4">
        <v>38.973999999999997</v>
      </c>
      <c r="J4">
        <v>23.283000000000001</v>
      </c>
      <c r="K4">
        <f t="shared" si="0"/>
        <v>320.29999999999995</v>
      </c>
      <c r="L4">
        <f>ABS((Table002__Page_75[[#This Row],[ρ_{l} (kg/m^{3} )]]-Table002__Page_7[[#This Row],[ρ_{l} (kg/m^{3} )]])/Table002__Page_75[[#This Row],[ρ_{l} (kg/m^{3} )]])*100</f>
        <v>0.58679549114331819</v>
      </c>
      <c r="M4">
        <f>ABS((Table002__Page_75[[#This Row],[ρ_{v} (kg/m^{3} )2]]-Table002__Page_7[[#This Row],[ρ_{v} (kg/m^{3} )]])/Table002__Page_75[[#This Row],[ρ_{v} (kg/m^{3} )2]])*100</f>
        <v>3.9693128752501599</v>
      </c>
      <c r="N4">
        <f>ABS((Table002__Page_75[[#This Row],[P(bar)]]-Table002__Page_7[[#This Row],[P(bar)]])/Table002__Page_75[[#This Row],[P(bar)]])*100</f>
        <v>0.51110252115277133</v>
      </c>
      <c r="O4">
        <f>ABS((Table002__Page_75[[#This Row],[∆H_{v} '[kJ/kg']]]-Table002__Page_7[[#This Row],[∆H_{v} '[kJ/kg']]])/Table002__Page_75[[#This Row],[∆H_{v} '[kJ/kg']]])*100</f>
        <v>4.5816616747236178</v>
      </c>
    </row>
    <row r="5" spans="1:15" x14ac:dyDescent="0.2">
      <c r="A5">
        <v>165</v>
      </c>
      <c r="B5">
        <v>325.15300000000002</v>
      </c>
      <c r="C5">
        <v>30.436</v>
      </c>
      <c r="D5">
        <v>19.463999999999999</v>
      </c>
      <c r="E5">
        <v>5.798</v>
      </c>
      <c r="F5">
        <f>Table002__Page_7[[#This Row],[∆H_{v} '[kJ/mol']]]*$A$22</f>
        <v>361.47132169576065</v>
      </c>
      <c r="G5">
        <v>165</v>
      </c>
      <c r="H5">
        <v>324.10000000000002</v>
      </c>
      <c r="I5">
        <v>31.448</v>
      </c>
      <c r="J5">
        <v>19.350999999999999</v>
      </c>
      <c r="K5">
        <f t="shared" si="0"/>
        <v>348.12</v>
      </c>
      <c r="L5">
        <f>ABS((Table002__Page_75[[#This Row],[ρ_{l} (kg/m^{3} )]]-Table002__Page_7[[#This Row],[ρ_{l} (kg/m^{3} )]])/Table002__Page_75[[#This Row],[ρ_{l} (kg/m^{3} )]])*100</f>
        <v>0.32489972230792874</v>
      </c>
      <c r="M5">
        <f>ABS((Table002__Page_75[[#This Row],[ρ_{v} (kg/m^{3} )2]]-Table002__Page_7[[#This Row],[ρ_{v} (kg/m^{3} )]])/Table002__Page_75[[#This Row],[ρ_{v} (kg/m^{3} )2]])*100</f>
        <v>3.2180106843042497</v>
      </c>
      <c r="N5">
        <f>ABS((Table002__Page_75[[#This Row],[P(bar)]]-Table002__Page_7[[#This Row],[P(bar)]])/Table002__Page_75[[#This Row],[P(bar)]])*100</f>
        <v>0.58394914991473068</v>
      </c>
      <c r="O5">
        <f>ABS((Table002__Page_75[[#This Row],[∆H_{v} '[kJ/kg']]]-Table002__Page_7[[#This Row],[∆H_{v} '[kJ/kg']]])/Table002__Page_75[[#This Row],[∆H_{v} '[kJ/kg']]])*100</f>
        <v>3.8352641892912347</v>
      </c>
    </row>
    <row r="6" spans="1:15" x14ac:dyDescent="0.2">
      <c r="A6">
        <v>160</v>
      </c>
      <c r="B6">
        <v>336.721</v>
      </c>
      <c r="C6">
        <v>24.727</v>
      </c>
      <c r="D6">
        <v>16.018000000000001</v>
      </c>
      <c r="E6">
        <v>6.165</v>
      </c>
      <c r="F6">
        <f>Table002__Page_7[[#This Row],[∆H_{v} '[kJ/mol']]]*$A$22</f>
        <v>384.35162094763098</v>
      </c>
      <c r="G6">
        <v>160</v>
      </c>
      <c r="H6">
        <v>336.31</v>
      </c>
      <c r="I6">
        <v>25.382000000000001</v>
      </c>
      <c r="J6">
        <v>15.920999999999999</v>
      </c>
      <c r="K6">
        <f t="shared" si="0"/>
        <v>372.27000000000004</v>
      </c>
      <c r="L6">
        <f>ABS((Table002__Page_75[[#This Row],[ρ_{l} (kg/m^{3} )]]-Table002__Page_7[[#This Row],[ρ_{l} (kg/m^{3} )]])/Table002__Page_75[[#This Row],[ρ_{l} (kg/m^{3} )]])*100</f>
        <v>0.12220867651868852</v>
      </c>
      <c r="M6">
        <f>ABS((Table002__Page_75[[#This Row],[ρ_{v} (kg/m^{3} )2]]-Table002__Page_7[[#This Row],[ρ_{v} (kg/m^{3} )]])/Table002__Page_75[[#This Row],[ρ_{v} (kg/m^{3} )2]])*100</f>
        <v>2.5805689070995239</v>
      </c>
      <c r="N6">
        <f>ABS((Table002__Page_75[[#This Row],[P(bar)]]-Table002__Page_7[[#This Row],[P(bar)]])/Table002__Page_75[[#This Row],[P(bar)]])*100</f>
        <v>0.60925821242385092</v>
      </c>
      <c r="O6">
        <f>ABS((Table002__Page_75[[#This Row],[∆H_{v} '[kJ/kg']]]-Table002__Page_7[[#This Row],[∆H_{v} '[kJ/kg']]])/Table002__Page_75[[#This Row],[∆H_{v} '[kJ/kg']]])*100</f>
        <v>3.2453920400867484</v>
      </c>
    </row>
    <row r="7" spans="1:15" x14ac:dyDescent="0.2">
      <c r="A7">
        <v>155</v>
      </c>
      <c r="B7">
        <v>347.37900000000002</v>
      </c>
      <c r="C7">
        <v>19.984000000000002</v>
      </c>
      <c r="D7">
        <v>13.026999999999999</v>
      </c>
      <c r="E7">
        <v>6.492</v>
      </c>
      <c r="F7">
        <f>Table002__Page_7[[#This Row],[∆H_{v} '[kJ/mol']]]*$A$22</f>
        <v>404.73815461346641</v>
      </c>
      <c r="G7">
        <v>155</v>
      </c>
      <c r="H7">
        <v>347.51</v>
      </c>
      <c r="I7">
        <v>20.419</v>
      </c>
      <c r="J7">
        <v>12.95</v>
      </c>
      <c r="K7">
        <f t="shared" si="0"/>
        <v>393.58</v>
      </c>
      <c r="L7">
        <f>ABS((Table002__Page_75[[#This Row],[ρ_{l} (kg/m^{3} )]]-Table002__Page_7[[#This Row],[ρ_{l} (kg/m^{3} )]])/Table002__Page_75[[#This Row],[ρ_{l} (kg/m^{3} )]])*100</f>
        <v>3.7696756927850079E-2</v>
      </c>
      <c r="M7">
        <f>ABS((Table002__Page_75[[#This Row],[ρ_{v} (kg/m^{3} )2]]-Table002__Page_7[[#This Row],[ρ_{v} (kg/m^{3} )]])/Table002__Page_75[[#This Row],[ρ_{v} (kg/m^{3} )2]])*100</f>
        <v>2.1303687741809036</v>
      </c>
      <c r="N7">
        <f>ABS((Table002__Page_75[[#This Row],[P(bar)]]-Table002__Page_7[[#This Row],[P(bar)]])/Table002__Page_75[[#This Row],[P(bar)]])*100</f>
        <v>0.59459459459459429</v>
      </c>
      <c r="O7">
        <f>ABS((Table002__Page_75[[#This Row],[∆H_{v} '[kJ/kg']]]-Table002__Page_7[[#This Row],[∆H_{v} '[kJ/kg']]])/Table002__Page_75[[#This Row],[∆H_{v} '[kJ/kg']]])*100</f>
        <v>2.8350410624184215</v>
      </c>
    </row>
    <row r="8" spans="1:15" x14ac:dyDescent="0.2">
      <c r="A8">
        <v>150</v>
      </c>
      <c r="B8">
        <v>357.59899999999999</v>
      </c>
      <c r="C8">
        <v>16.03</v>
      </c>
      <c r="D8">
        <v>10.457000000000001</v>
      </c>
      <c r="E8">
        <v>6.7919999999999998</v>
      </c>
      <c r="F8">
        <f>Table002__Page_7[[#This Row],[∆H_{v} '[kJ/mol']]]*$A$22</f>
        <v>423.44139650872825</v>
      </c>
      <c r="G8">
        <v>150</v>
      </c>
      <c r="H8">
        <v>357.9</v>
      </c>
      <c r="I8">
        <v>16.327999999999999</v>
      </c>
      <c r="J8">
        <v>10.4</v>
      </c>
      <c r="K8">
        <f t="shared" si="0"/>
        <v>412.59000000000003</v>
      </c>
      <c r="L8">
        <f>ABS((Table002__Page_75[[#This Row],[ρ_{l} (kg/m^{3} )]]-Table002__Page_7[[#This Row],[ρ_{l} (kg/m^{3} )]])/Table002__Page_75[[#This Row],[ρ_{l} (kg/m^{3} )]])*100</f>
        <v>8.4101704386696771E-2</v>
      </c>
      <c r="M8">
        <f>ABS((Table002__Page_75[[#This Row],[ρ_{v} (kg/m^{3} )2]]-Table002__Page_7[[#This Row],[ρ_{v} (kg/m^{3} )]])/Table002__Page_75[[#This Row],[ρ_{v} (kg/m^{3} )2]])*100</f>
        <v>1.8250857422831841</v>
      </c>
      <c r="N8">
        <f>ABS((Table002__Page_75[[#This Row],[P(bar)]]-Table002__Page_7[[#This Row],[P(bar)]])/Table002__Page_75[[#This Row],[P(bar)]])*100</f>
        <v>0.54807692307692668</v>
      </c>
      <c r="O8">
        <f>ABS((Table002__Page_75[[#This Row],[∆H_{v} '[kJ/kg']]]-Table002__Page_7[[#This Row],[∆H_{v} '[kJ/kg']]])/Table002__Page_75[[#This Row],[∆H_{v} '[kJ/kg']]])*100</f>
        <v>2.6300677449109804</v>
      </c>
    </row>
    <row r="9" spans="1:15" x14ac:dyDescent="0.2">
      <c r="A9">
        <v>145</v>
      </c>
      <c r="B9">
        <v>367.471</v>
      </c>
      <c r="C9">
        <v>12.73</v>
      </c>
      <c r="D9">
        <v>8.2690000000000001</v>
      </c>
      <c r="E9">
        <v>7.0679999999999996</v>
      </c>
      <c r="F9">
        <f>Table002__Page_7[[#This Row],[∆H_{v} '[kJ/mol']]]*$A$22</f>
        <v>440.64837905236914</v>
      </c>
      <c r="G9">
        <v>145</v>
      </c>
      <c r="H9">
        <v>367.65</v>
      </c>
      <c r="I9">
        <v>12.945</v>
      </c>
      <c r="J9">
        <v>8.2322000000000006</v>
      </c>
      <c r="K9">
        <f t="shared" si="0"/>
        <v>429.67000000000007</v>
      </c>
      <c r="L9">
        <f>ABS((Table002__Page_75[[#This Row],[ρ_{l} (kg/m^{3} )]]-Table002__Page_7[[#This Row],[ρ_{l} (kg/m^{3} )]])/Table002__Page_75[[#This Row],[ρ_{l} (kg/m^{3} )]])*100</f>
        <v>4.8687610499108837E-2</v>
      </c>
      <c r="M9">
        <f>ABS((Table002__Page_75[[#This Row],[ρ_{v} (kg/m^{3} )2]]-Table002__Page_7[[#This Row],[ρ_{v} (kg/m^{3} )]])/Table002__Page_75[[#This Row],[ρ_{v} (kg/m^{3} )2]])*100</f>
        <v>1.660872923908844</v>
      </c>
      <c r="N9">
        <f>ABS((Table002__Page_75[[#This Row],[P(bar)]]-Table002__Page_7[[#This Row],[P(bar)]])/Table002__Page_75[[#This Row],[P(bar)]])*100</f>
        <v>0.44702509657199169</v>
      </c>
      <c r="O9">
        <f>ABS((Table002__Page_75[[#This Row],[∆H_{v} '[kJ/kg']]]-Table002__Page_7[[#This Row],[∆H_{v} '[kJ/kg']]])/Table002__Page_75[[#This Row],[∆H_{v} '[kJ/kg']]])*100</f>
        <v>2.555072276949534</v>
      </c>
    </row>
    <row r="10" spans="1:15" x14ac:dyDescent="0.2">
      <c r="A10">
        <v>140</v>
      </c>
      <c r="B10">
        <v>376.584</v>
      </c>
      <c r="C10">
        <v>9.9860000000000007</v>
      </c>
      <c r="D10">
        <v>6.43</v>
      </c>
      <c r="E10">
        <v>7.3140000000000001</v>
      </c>
      <c r="F10">
        <f>Table002__Page_7[[#This Row],[∆H_{v} '[kJ/mol']]]*$A$22</f>
        <v>455.98503740648385</v>
      </c>
      <c r="G10">
        <v>140</v>
      </c>
      <c r="H10">
        <v>376.87</v>
      </c>
      <c r="I10">
        <v>10.151999999999999</v>
      </c>
      <c r="J10">
        <v>6.4118000000000004</v>
      </c>
      <c r="K10">
        <f t="shared" si="0"/>
        <v>445.14000000000004</v>
      </c>
      <c r="L10">
        <f>ABS((Table002__Page_75[[#This Row],[ρ_{l} (kg/m^{3} )]]-Table002__Page_7[[#This Row],[ρ_{l} (kg/m^{3} )]])/Table002__Page_75[[#This Row],[ρ_{l} (kg/m^{3} )]])*100</f>
        <v>7.5888237323215271E-2</v>
      </c>
      <c r="M10">
        <f>ABS((Table002__Page_75[[#This Row],[ρ_{v} (kg/m^{3} )2]]-Table002__Page_7[[#This Row],[ρ_{v} (kg/m^{3} )]])/Table002__Page_75[[#This Row],[ρ_{v} (kg/m^{3} )2]])*100</f>
        <v>1.6351457840819408</v>
      </c>
      <c r="N10">
        <f>ABS((Table002__Page_75[[#This Row],[P(bar)]]-Table002__Page_7[[#This Row],[P(bar)]])/Table002__Page_75[[#This Row],[P(bar)]])*100</f>
        <v>0.28385164852302514</v>
      </c>
      <c r="O10">
        <f>ABS((Table002__Page_75[[#This Row],[∆H_{v} '[kJ/kg']]]-Table002__Page_7[[#This Row],[∆H_{v} '[kJ/kg']]])/Table002__Page_75[[#This Row],[∆H_{v} '[kJ/kg']]])*100</f>
        <v>2.436320574759359</v>
      </c>
    </row>
    <row r="11" spans="1:15" x14ac:dyDescent="0.2">
      <c r="A11">
        <v>135</v>
      </c>
      <c r="B11">
        <v>385.35500000000002</v>
      </c>
      <c r="C11">
        <v>7.7210000000000001</v>
      </c>
      <c r="D11">
        <v>4.9089999999999998</v>
      </c>
      <c r="E11">
        <v>7.5410000000000004</v>
      </c>
      <c r="F11">
        <f>Table002__Page_7[[#This Row],[∆H_{v} '[kJ/mol']]]*$A$22</f>
        <v>470.13715710723199</v>
      </c>
      <c r="G11">
        <v>135</v>
      </c>
      <c r="H11">
        <v>385.64</v>
      </c>
      <c r="I11">
        <v>7.8548999999999998</v>
      </c>
      <c r="J11">
        <v>4.9035000000000002</v>
      </c>
      <c r="K11">
        <f t="shared" si="0"/>
        <v>459.19999999999993</v>
      </c>
      <c r="L11">
        <f>ABS((Table002__Page_75[[#This Row],[ρ_{l} (kg/m^{3} )]]-Table002__Page_7[[#This Row],[ρ_{l} (kg/m^{3} )]])/Table002__Page_75[[#This Row],[ρ_{l} (kg/m^{3} )]])*100</f>
        <v>7.3903122082763242E-2</v>
      </c>
      <c r="M11">
        <f>ABS((Table002__Page_75[[#This Row],[ρ_{v} (kg/m^{3} )2]]-Table002__Page_7[[#This Row],[ρ_{v} (kg/m^{3} )]])/Table002__Page_75[[#This Row],[ρ_{v} (kg/m^{3} )2]])*100</f>
        <v>1.7046684235318041</v>
      </c>
      <c r="N11">
        <f>ABS((Table002__Page_75[[#This Row],[P(bar)]]-Table002__Page_7[[#This Row],[P(bar)]])/Table002__Page_75[[#This Row],[P(bar)]])*100</f>
        <v>0.11216478025899085</v>
      </c>
      <c r="O11">
        <f>ABS((Table002__Page_75[[#This Row],[∆H_{v} '[kJ/kg']]]-Table002__Page_7[[#This Row],[∆H_{v} '[kJ/kg']]])/Table002__Page_75[[#This Row],[∆H_{v} '[kJ/kg']]])*100</f>
        <v>2.3817850843275381</v>
      </c>
    </row>
    <row r="12" spans="1:15" x14ac:dyDescent="0.2">
      <c r="A12">
        <v>130</v>
      </c>
      <c r="B12">
        <v>393.46800000000002</v>
      </c>
      <c r="C12">
        <v>5.8730000000000002</v>
      </c>
      <c r="D12">
        <v>3.669</v>
      </c>
      <c r="E12">
        <v>7.7439999999999998</v>
      </c>
      <c r="F12">
        <f>Table002__Page_7[[#This Row],[∆H_{v} '[kJ/mol']]]*$A$22</f>
        <v>482.79301745635917</v>
      </c>
      <c r="G12">
        <v>130</v>
      </c>
      <c r="H12">
        <v>394.04</v>
      </c>
      <c r="I12">
        <v>5.9804000000000004</v>
      </c>
      <c r="J12">
        <v>3.6732</v>
      </c>
      <c r="K12">
        <f t="shared" si="0"/>
        <v>472.04099999999994</v>
      </c>
      <c r="L12">
        <f>ABS((Table002__Page_75[[#This Row],[ρ_{l} (kg/m^{3} )]]-Table002__Page_7[[#This Row],[ρ_{l} (kg/m^{3} )]])/Table002__Page_75[[#This Row],[ρ_{l} (kg/m^{3} )]])*100</f>
        <v>0.14516292762156194</v>
      </c>
      <c r="M12">
        <f>ABS((Table002__Page_75[[#This Row],[ρ_{v} (kg/m^{3} )2]]-Table002__Page_7[[#This Row],[ρ_{v} (kg/m^{3} )]])/Table002__Page_75[[#This Row],[ρ_{v} (kg/m^{3} )2]])*100</f>
        <v>1.7958664972242684</v>
      </c>
      <c r="N12">
        <f>ABS((Table002__Page_75[[#This Row],[P(bar)]]-Table002__Page_7[[#This Row],[P(bar)]])/Table002__Page_75[[#This Row],[P(bar)]])*100</f>
        <v>0.11434171839268163</v>
      </c>
      <c r="O12">
        <f>ABS((Table002__Page_75[[#This Row],[∆H_{v} '[kJ/kg']]]-Table002__Page_7[[#This Row],[∆H_{v} '[kJ/kg']]])/Table002__Page_75[[#This Row],[∆H_{v} '[kJ/kg']]])*100</f>
        <v>2.2777719427675196</v>
      </c>
    </row>
    <row r="13" spans="1:15" x14ac:dyDescent="0.2">
      <c r="A13">
        <v>125</v>
      </c>
      <c r="B13">
        <v>401.20400000000001</v>
      </c>
      <c r="C13">
        <v>4.383</v>
      </c>
      <c r="D13">
        <v>2.6789999999999998</v>
      </c>
      <c r="E13">
        <v>7.9290000000000003</v>
      </c>
      <c r="F13">
        <f>Table002__Page_7[[#This Row],[∆H_{v} '[kJ/mol']]]*$A$22</f>
        <v>494.32668329177068</v>
      </c>
      <c r="G13">
        <v>125</v>
      </c>
      <c r="H13">
        <v>402.11</v>
      </c>
      <c r="I13">
        <v>4.4668999999999999</v>
      </c>
      <c r="J13">
        <v>2.6876000000000002</v>
      </c>
      <c r="K13">
        <f t="shared" si="0"/>
        <v>483.79699999999997</v>
      </c>
      <c r="L13">
        <f>ABS((Table002__Page_75[[#This Row],[ρ_{l} (kg/m^{3} )]]-Table002__Page_7[[#This Row],[ρ_{l} (kg/m^{3} )]])/Table002__Page_75[[#This Row],[ρ_{l} (kg/m^{3} )]])*100</f>
        <v>0.2253114819328059</v>
      </c>
      <c r="M13">
        <f>ABS((Table002__Page_75[[#This Row],[ρ_{v} (kg/m^{3} )2]]-Table002__Page_7[[#This Row],[ρ_{v} (kg/m^{3} )]])/Table002__Page_75[[#This Row],[ρ_{v} (kg/m^{3} )2]])*100</f>
        <v>1.8782600908907714</v>
      </c>
      <c r="N13">
        <f>ABS((Table002__Page_75[[#This Row],[P(bar)]]-Table002__Page_7[[#This Row],[P(bar)]])/Table002__Page_75[[#This Row],[P(bar)]])*100</f>
        <v>0.31998809346630391</v>
      </c>
      <c r="O13">
        <f>ABS((Table002__Page_75[[#This Row],[∆H_{v} '[kJ/kg']]]-Table002__Page_7[[#This Row],[∆H_{v} '[kJ/kg']]])/Table002__Page_75[[#This Row],[∆H_{v} '[kJ/kg']]])*100</f>
        <v>2.1764672562605205</v>
      </c>
    </row>
    <row r="14" spans="1:15" x14ac:dyDescent="0.2">
      <c r="A14">
        <v>120</v>
      </c>
      <c r="B14">
        <v>409.73700000000002</v>
      </c>
      <c r="C14">
        <v>3.1970000000000001</v>
      </c>
      <c r="D14">
        <v>1.9019999999999999</v>
      </c>
      <c r="E14">
        <v>8.1199999999999992</v>
      </c>
      <c r="F14">
        <f>Table002__Page_7[[#This Row],[∆H_{v} '[kJ/mol']]]*$A$22</f>
        <v>506.2344139650873</v>
      </c>
      <c r="G14">
        <v>120</v>
      </c>
      <c r="H14">
        <v>409.9</v>
      </c>
      <c r="I14">
        <v>3.2618999999999998</v>
      </c>
      <c r="J14">
        <v>1.9142999999999999</v>
      </c>
      <c r="K14">
        <f t="shared" si="0"/>
        <v>494.61500000000001</v>
      </c>
      <c r="L14">
        <f>ABS((Table002__Page_75[[#This Row],[ρ_{l} (kg/m^{3} )]]-Table002__Page_7[[#This Row],[ρ_{l} (kg/m^{3} )]])/Table002__Page_75[[#This Row],[ρ_{l} (kg/m^{3} )]])*100</f>
        <v>3.9765796535729217E-2</v>
      </c>
      <c r="M14">
        <f>ABS((Table002__Page_75[[#This Row],[ρ_{v} (kg/m^{3} )2]]-Table002__Page_7[[#This Row],[ρ_{v} (kg/m^{3} )]])/Table002__Page_75[[#This Row],[ρ_{v} (kg/m^{3} )2]])*100</f>
        <v>1.9896379410772782</v>
      </c>
      <c r="N14">
        <f>ABS((Table002__Page_75[[#This Row],[P(bar)]]-Table002__Page_7[[#This Row],[P(bar)]])/Table002__Page_75[[#This Row],[P(bar)]])*100</f>
        <v>0.64253251841404047</v>
      </c>
      <c r="O14">
        <f>ABS((Table002__Page_75[[#This Row],[∆H_{v} '[kJ/kg']]]-Table002__Page_7[[#This Row],[∆H_{v} '[kJ/kg']]])/Table002__Page_75[[#This Row],[∆H_{v} '[kJ/kg']]])*100</f>
        <v>2.3491834993049725</v>
      </c>
    </row>
    <row r="15" spans="1:15" x14ac:dyDescent="0.2">
      <c r="A15">
        <v>115</v>
      </c>
      <c r="B15">
        <v>418.053</v>
      </c>
      <c r="C15">
        <v>2.2669999999999999</v>
      </c>
      <c r="D15">
        <v>1.3069999999999999</v>
      </c>
      <c r="E15">
        <v>8.2970000000000006</v>
      </c>
      <c r="F15">
        <f>Table002__Page_7[[#This Row],[∆H_{v} '[kJ/mol']]]*$A$22</f>
        <v>517.26932668329187</v>
      </c>
      <c r="G15">
        <v>115</v>
      </c>
      <c r="H15">
        <v>417.45</v>
      </c>
      <c r="I15">
        <v>2.3193000000000001</v>
      </c>
      <c r="J15">
        <v>1.3221000000000001</v>
      </c>
      <c r="K15">
        <f t="shared" si="0"/>
        <v>504.59299999999996</v>
      </c>
      <c r="L15">
        <f>ABS((Table002__Page_75[[#This Row],[ρ_{l} (kg/m^{3} )]]-Table002__Page_7[[#This Row],[ρ_{l} (kg/m^{3} )]])/Table002__Page_75[[#This Row],[ρ_{l} (kg/m^{3} )]])*100</f>
        <v>0.14444843693855761</v>
      </c>
      <c r="M15">
        <f>ABS((Table002__Page_75[[#This Row],[ρ_{v} (kg/m^{3} )2]]-Table002__Page_7[[#This Row],[ρ_{v} (kg/m^{3} )]])/Table002__Page_75[[#This Row],[ρ_{v} (kg/m^{3} )2]])*100</f>
        <v>2.2549907299616363</v>
      </c>
      <c r="N15">
        <f>ABS((Table002__Page_75[[#This Row],[P(bar)]]-Table002__Page_7[[#This Row],[P(bar)]])/Table002__Page_75[[#This Row],[P(bar)]])*100</f>
        <v>1.1421223810604426</v>
      </c>
      <c r="O15">
        <f>ABS((Table002__Page_75[[#This Row],[∆H_{v} '[kJ/kg']]]-Table002__Page_7[[#This Row],[∆H_{v} '[kJ/kg']]])/Table002__Page_75[[#This Row],[∆H_{v} '[kJ/kg']]])*100</f>
        <v>2.5121883742524975</v>
      </c>
    </row>
    <row r="16" spans="1:15" x14ac:dyDescent="0.2">
      <c r="A16">
        <v>110</v>
      </c>
      <c r="B16">
        <v>425.428</v>
      </c>
      <c r="C16">
        <v>1.5549999999999999</v>
      </c>
      <c r="D16">
        <v>0.86499999999999999</v>
      </c>
      <c r="E16">
        <v>8.4510000000000005</v>
      </c>
      <c r="F16">
        <f>Table002__Page_7[[#This Row],[∆H_{v} '[kJ/mol']]]*$A$22</f>
        <v>526.87032418952629</v>
      </c>
      <c r="G16">
        <v>110</v>
      </c>
      <c r="H16">
        <v>424.78</v>
      </c>
      <c r="I16">
        <v>1.5982000000000001</v>
      </c>
      <c r="J16">
        <v>0.88129999999999997</v>
      </c>
      <c r="K16">
        <f t="shared" si="0"/>
        <v>513.83299999999997</v>
      </c>
      <c r="L16">
        <f>ABS((Table002__Page_75[[#This Row],[ρ_{l} (kg/m^{3} )]]-Table002__Page_7[[#This Row],[ρ_{l} (kg/m^{3} )]])/Table002__Page_75[[#This Row],[ρ_{l} (kg/m^{3} )]])*100</f>
        <v>0.15254955506380352</v>
      </c>
      <c r="M16">
        <f>ABS((Table002__Page_75[[#This Row],[ρ_{v} (kg/m^{3} )2]]-Table002__Page_7[[#This Row],[ρ_{v} (kg/m^{3} )]])/Table002__Page_75[[#This Row],[ρ_{v} (kg/m^{3} )2]])*100</f>
        <v>2.7030409210361737</v>
      </c>
      <c r="N16">
        <f>ABS((Table002__Page_75[[#This Row],[P(bar)]]-Table002__Page_7[[#This Row],[P(bar)]])/Table002__Page_75[[#This Row],[P(bar)]])*100</f>
        <v>1.8495404516055807</v>
      </c>
      <c r="O16">
        <f>ABS((Table002__Page_75[[#This Row],[∆H_{v} '[kJ/kg']]]-Table002__Page_7[[#This Row],[∆H_{v} '[kJ/kg']]])/Table002__Page_75[[#This Row],[∆H_{v} '[kJ/kg']]])*100</f>
        <v>2.5372687603805741</v>
      </c>
    </row>
    <row r="17" spans="1:15" x14ac:dyDescent="0.2">
      <c r="A17">
        <v>105</v>
      </c>
      <c r="B17">
        <v>429.96899999999999</v>
      </c>
      <c r="C17">
        <v>1.026</v>
      </c>
      <c r="D17">
        <v>0.54900000000000004</v>
      </c>
      <c r="E17">
        <v>8.5440000000000005</v>
      </c>
      <c r="F17">
        <f>Table002__Page_7[[#This Row],[∆H_{v} '[kJ/mol']]]*$A$22</f>
        <v>532.66832917705744</v>
      </c>
      <c r="G17">
        <v>105</v>
      </c>
      <c r="H17">
        <v>431.92</v>
      </c>
      <c r="I17">
        <v>1.0612999999999999</v>
      </c>
      <c r="J17">
        <v>0.56376999999999999</v>
      </c>
      <c r="K17">
        <f t="shared" si="0"/>
        <v>522.43399999999997</v>
      </c>
      <c r="L17">
        <f>ABS((Table002__Page_75[[#This Row],[ρ_{l} (kg/m^{3} )]]-Table002__Page_7[[#This Row],[ρ_{l} (kg/m^{3} )]])/Table002__Page_75[[#This Row],[ρ_{l} (kg/m^{3} )]])*100</f>
        <v>0.45170401926283149</v>
      </c>
      <c r="M17">
        <f>ABS((Table002__Page_75[[#This Row],[ρ_{v} (kg/m^{3} )2]]-Table002__Page_7[[#This Row],[ρ_{v} (kg/m^{3} )]])/Table002__Page_75[[#This Row],[ρ_{v} (kg/m^{3} )2]])*100</f>
        <v>3.326109488363318</v>
      </c>
      <c r="N17">
        <f>ABS((Table002__Page_75[[#This Row],[P(bar)]]-Table002__Page_7[[#This Row],[P(bar)]])/Table002__Page_75[[#This Row],[P(bar)]])*100</f>
        <v>2.6198627099703691</v>
      </c>
      <c r="O17">
        <f>ABS((Table002__Page_75[[#This Row],[∆H_{v} '[kJ/kg']]]-Table002__Page_7[[#This Row],[∆H_{v} '[kJ/kg']]])/Table002__Page_75[[#This Row],[∆H_{v} '[kJ/kg']]])*100</f>
        <v>1.9589707364102407</v>
      </c>
    </row>
    <row r="18" spans="1:15" x14ac:dyDescent="0.2">
      <c r="A18">
        <v>100</v>
      </c>
      <c r="B18">
        <v>431.71300000000002</v>
      </c>
      <c r="C18">
        <v>0.65</v>
      </c>
      <c r="D18">
        <v>0.33300000000000002</v>
      </c>
      <c r="E18">
        <v>8.5709999999999997</v>
      </c>
      <c r="F18">
        <f>Table002__Page_7[[#This Row],[∆H_{v} '[kJ/mol']]]*$A$22</f>
        <v>534.35162094763098</v>
      </c>
      <c r="G18">
        <v>100</v>
      </c>
      <c r="H18">
        <v>438.89</v>
      </c>
      <c r="I18">
        <v>0.67457</v>
      </c>
      <c r="J18">
        <v>0.34376000000000001</v>
      </c>
      <c r="K18">
        <f t="shared" si="0"/>
        <v>530.47899999999993</v>
      </c>
      <c r="L18">
        <f>ABS((Table002__Page_75[[#This Row],[ρ_{l} (kg/m^{3} )]]-Table002__Page_7[[#This Row],[ρ_{l} (kg/m^{3} )]])/Table002__Page_75[[#This Row],[ρ_{l} (kg/m^{3} )]])*100</f>
        <v>1.6352616828818074</v>
      </c>
      <c r="M18">
        <f>ABS((Table002__Page_75[[#This Row],[ρ_{v} (kg/m^{3} )2]]-Table002__Page_7[[#This Row],[ρ_{v} (kg/m^{3} )]])/Table002__Page_75[[#This Row],[ρ_{v} (kg/m^{3} )2]])*100</f>
        <v>3.6423202929273439</v>
      </c>
      <c r="N18">
        <f>ABS((Table002__Page_75[[#This Row],[P(bar)]]-Table002__Page_7[[#This Row],[P(bar)]])/Table002__Page_75[[#This Row],[P(bar)]])*100</f>
        <v>3.1300907609960413</v>
      </c>
      <c r="O18">
        <f>ABS((Table002__Page_75[[#This Row],[∆H_{v} '[kJ/kg']]]-Table002__Page_7[[#This Row],[∆H_{v} '[kJ/kg']]])/Table002__Page_75[[#This Row],[∆H_{v} '[kJ/kg']]])*100</f>
        <v>0.73002342178126733</v>
      </c>
    </row>
    <row r="19" spans="1:15" x14ac:dyDescent="0.2">
      <c r="A19" t="s">
        <v>5</v>
      </c>
      <c r="F19" s="12"/>
      <c r="G19" t="s">
        <v>6</v>
      </c>
      <c r="K19" s="11" t="s">
        <v>7</v>
      </c>
      <c r="L19" s="11">
        <f>AVERAGE(L2:L18)</f>
        <v>1.3736012905543122</v>
      </c>
      <c r="M19" s="11">
        <f t="shared" ref="M19:N19" si="1">AVERAGE(M2:M18)</f>
        <v>3.7481491872525203</v>
      </c>
      <c r="N19" s="11">
        <f t="shared" si="1"/>
        <v>0.81996010952845522</v>
      </c>
      <c r="O19" s="11">
        <f>AVERAGE(O2:O18)</f>
        <v>8.4320156814544376</v>
      </c>
    </row>
    <row r="20" spans="1:15" x14ac:dyDescent="0.2">
      <c r="A20" t="s">
        <v>22</v>
      </c>
    </row>
    <row r="21" spans="1:15" x14ac:dyDescent="0.2">
      <c r="A21">
        <v>16.04</v>
      </c>
      <c r="B21" t="s">
        <v>18</v>
      </c>
      <c r="N21" s="5">
        <v>378.27</v>
      </c>
      <c r="O21" s="6">
        <v>459.03</v>
      </c>
    </row>
    <row r="22" spans="1:15" x14ac:dyDescent="0.2">
      <c r="A22">
        <f>1/(A21/1000)</f>
        <v>62.344139650872826</v>
      </c>
      <c r="B22" t="s">
        <v>16</v>
      </c>
      <c r="N22" s="8">
        <v>285.94</v>
      </c>
      <c r="O22" s="9">
        <v>532.83000000000004</v>
      </c>
    </row>
    <row r="23" spans="1:15" x14ac:dyDescent="0.2">
      <c r="N23" s="5">
        <v>231.24</v>
      </c>
      <c r="O23" s="6">
        <v>551.54</v>
      </c>
    </row>
    <row r="24" spans="1:15" x14ac:dyDescent="0.2">
      <c r="N24" s="8">
        <v>207.33</v>
      </c>
      <c r="O24" s="9">
        <v>555.45000000000005</v>
      </c>
    </row>
    <row r="25" spans="1:15" x14ac:dyDescent="0.2">
      <c r="N25" s="5">
        <v>184.8</v>
      </c>
      <c r="O25" s="6">
        <v>557.07000000000005</v>
      </c>
    </row>
    <row r="26" spans="1:15" x14ac:dyDescent="0.2">
      <c r="N26" s="8">
        <v>163.31</v>
      </c>
      <c r="O26" s="9">
        <v>556.89</v>
      </c>
    </row>
    <row r="27" spans="1:15" x14ac:dyDescent="0.2">
      <c r="N27" s="5">
        <v>142.63999999999999</v>
      </c>
      <c r="O27" s="6">
        <v>555.23</v>
      </c>
    </row>
    <row r="28" spans="1:15" x14ac:dyDescent="0.2">
      <c r="N28" s="8">
        <v>122.65</v>
      </c>
      <c r="O28" s="9">
        <v>552.32000000000005</v>
      </c>
    </row>
    <row r="29" spans="1:15" x14ac:dyDescent="0.2">
      <c r="N29" s="5">
        <v>103.2</v>
      </c>
      <c r="O29" s="6">
        <v>548.34</v>
      </c>
    </row>
    <row r="30" spans="1:15" x14ac:dyDescent="0.2">
      <c r="N30" s="8">
        <v>84.22</v>
      </c>
      <c r="O30" s="9">
        <v>543.41999999999996</v>
      </c>
    </row>
    <row r="31" spans="1:15" x14ac:dyDescent="0.2">
      <c r="N31" s="5">
        <v>65.629000000000005</v>
      </c>
      <c r="O31" s="6">
        <v>537.66999999999996</v>
      </c>
    </row>
    <row r="32" spans="1:15" x14ac:dyDescent="0.2">
      <c r="N32" s="8">
        <v>47.372999999999998</v>
      </c>
      <c r="O32" s="9">
        <v>531.16999999999996</v>
      </c>
    </row>
    <row r="33" spans="14:15" x14ac:dyDescent="0.2">
      <c r="N33" s="5">
        <v>29.405000000000001</v>
      </c>
      <c r="O33" s="6">
        <v>524.02</v>
      </c>
    </row>
    <row r="34" spans="14:15" x14ac:dyDescent="0.2">
      <c r="N34" s="8">
        <v>11.686999999999999</v>
      </c>
      <c r="O34" s="9">
        <v>516.28</v>
      </c>
    </row>
    <row r="35" spans="14:15" x14ac:dyDescent="0.2">
      <c r="N35" s="5">
        <v>-5.8129999999999997</v>
      </c>
      <c r="O35" s="6">
        <v>508.02</v>
      </c>
    </row>
    <row r="36" spans="14:15" x14ac:dyDescent="0.2">
      <c r="N36" s="8">
        <v>-23.123999999999999</v>
      </c>
      <c r="O36" s="9">
        <v>499.31</v>
      </c>
    </row>
    <row r="37" spans="14:15" x14ac:dyDescent="0.2">
      <c r="N37" s="5">
        <v>-40.268999999999998</v>
      </c>
      <c r="O37" s="6">
        <v>490.21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719D-4F2D-43BF-9CDF-F5757B730DD2}">
  <dimension ref="A1:Q35"/>
  <sheetViews>
    <sheetView topLeftCell="H1" workbookViewId="0">
      <selection activeCell="M1" sqref="M1:P1"/>
    </sheetView>
  </sheetViews>
  <sheetFormatPr baseColWidth="10" defaultColWidth="8.83203125" defaultRowHeight="15" x14ac:dyDescent="0.2"/>
  <cols>
    <col min="1" max="1" width="6.83203125" bestFit="1" customWidth="1"/>
    <col min="2" max="2" width="17.1640625" bestFit="1" customWidth="1"/>
    <col min="3" max="3" width="17.6640625" bestFit="1" customWidth="1"/>
    <col min="4" max="4" width="8.33203125" bestFit="1" customWidth="1"/>
    <col min="5" max="5" width="16.33203125" bestFit="1" customWidth="1"/>
    <col min="6" max="6" width="15" bestFit="1" customWidth="1"/>
    <col min="7" max="7" width="4.6640625" bestFit="1" customWidth="1"/>
    <col min="8" max="8" width="14.83203125" bestFit="1" customWidth="1"/>
    <col min="9" max="9" width="15.33203125" bestFit="1" customWidth="1"/>
    <col min="10" max="10" width="7.83203125" bestFit="1" customWidth="1"/>
    <col min="11" max="11" width="14.1640625" bestFit="1" customWidth="1"/>
    <col min="12" max="12" width="12.6640625" bestFit="1" customWidth="1"/>
    <col min="13" max="14" width="11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s="1" t="s">
        <v>0</v>
      </c>
      <c r="H1" s="2" t="s">
        <v>1</v>
      </c>
      <c r="I1" s="2" t="s">
        <v>2</v>
      </c>
      <c r="J1" s="2" t="s">
        <v>3</v>
      </c>
      <c r="K1" s="3" t="s">
        <v>4</v>
      </c>
      <c r="L1" s="3" t="s">
        <v>15</v>
      </c>
      <c r="M1" s="10" t="s">
        <v>10</v>
      </c>
      <c r="N1" s="10" t="s">
        <v>11</v>
      </c>
      <c r="O1" s="10" t="s">
        <v>12</v>
      </c>
      <c r="P1" s="10" t="s">
        <v>13</v>
      </c>
    </row>
    <row r="2" spans="1:16" x14ac:dyDescent="0.2">
      <c r="A2">
        <v>305</v>
      </c>
      <c r="B2">
        <v>299.827</v>
      </c>
      <c r="C2">
        <v>117.078</v>
      </c>
      <c r="D2">
        <v>49.142000000000003</v>
      </c>
      <c r="E2">
        <v>4.5789999999999997</v>
      </c>
      <c r="F2">
        <f>Table003__Page_8[[#This Row],[∆H_{v} '[kJ/mol']]]*$A$23</f>
        <v>152.27801795809776</v>
      </c>
      <c r="G2" s="6">
        <v>305</v>
      </c>
      <c r="H2" s="6">
        <v>241.96</v>
      </c>
      <c r="I2" s="6">
        <v>170.75</v>
      </c>
      <c r="J2" s="6">
        <v>48.392000000000003</v>
      </c>
      <c r="K2" s="6">
        <f>N20</f>
        <v>1.61</v>
      </c>
      <c r="L2" s="6">
        <f>Q20</f>
        <v>53.539999999999964</v>
      </c>
      <c r="M2" s="6">
        <f>ABS((H2-Table003__Page_8[[#This Row],[ρ_{l} (kg/m^{3} )]])/H2)*100</f>
        <v>23.915936518432794</v>
      </c>
      <c r="N2" s="6">
        <f>ABS((I2-Table003__Page_8[[#This Row],[ρ_{v} (kg/m^{3} )]])/I2)*100</f>
        <v>31.43308931185944</v>
      </c>
      <c r="O2" s="6">
        <f>ABS((J2-Table003__Page_8[[#This Row],[P(bar)]])/J2)*100</f>
        <v>1.5498429492478094</v>
      </c>
      <c r="P2" s="6">
        <f>ABS((L2-Table003__Page_8[[#This Row],[∆H_{v} '[kJ/kg']]])/L2)*100</f>
        <v>184.41915942864748</v>
      </c>
    </row>
    <row r="3" spans="1:16" x14ac:dyDescent="0.2">
      <c r="A3">
        <v>300</v>
      </c>
      <c r="B3">
        <v>317.048</v>
      </c>
      <c r="C3">
        <v>103.79900000000001</v>
      </c>
      <c r="D3">
        <v>44.45</v>
      </c>
      <c r="E3">
        <v>5.3310000000000004</v>
      </c>
      <c r="F3">
        <f>Table003__Page_8[[#This Row],[∆H_{v} '[kJ/mol']]]*$A$23</f>
        <v>177.28633189225141</v>
      </c>
      <c r="G3" s="9">
        <v>300</v>
      </c>
      <c r="H3" s="9">
        <v>303.51</v>
      </c>
      <c r="I3" s="9">
        <v>114.5</v>
      </c>
      <c r="J3" s="9">
        <v>43.573</v>
      </c>
      <c r="K3" s="9">
        <f t="shared" ref="K3:K17" si="0">N21</f>
        <v>4.5010000000000003</v>
      </c>
      <c r="L3" s="9">
        <f t="shared" ref="L3:L17" si="1">Q21</f>
        <v>149.71000000000004</v>
      </c>
      <c r="M3" s="9">
        <f>ABS((H3-Table003__Page_8[[#This Row],[ρ_{l} (kg/m^{3} )]])/H3)*100</f>
        <v>4.4604790616454189</v>
      </c>
      <c r="N3" s="9">
        <f>ABS((I3-Table003__Page_8[[#This Row],[ρ_{v} (kg/m^{3} )]])/I3)*100</f>
        <v>9.3458515283842729</v>
      </c>
      <c r="O3" s="9">
        <f>ABS((J3-Table003__Page_8[[#This Row],[P(bar)]])/J3)*100</f>
        <v>2.0127142955500021</v>
      </c>
      <c r="P3" s="9">
        <f>ABS((L3-Table003__Page_8[[#This Row],[∆H_{v} '[kJ/kg']]])/L3)*100</f>
        <v>18.419832938515377</v>
      </c>
    </row>
    <row r="4" spans="1:16" x14ac:dyDescent="0.2">
      <c r="A4">
        <v>290</v>
      </c>
      <c r="B4">
        <v>354.32100000000003</v>
      </c>
      <c r="C4">
        <v>76.736999999999995</v>
      </c>
      <c r="D4">
        <v>35.899000000000001</v>
      </c>
      <c r="E4">
        <v>7.0389999999999997</v>
      </c>
      <c r="F4">
        <f>Table003__Page_8[[#This Row],[∆H_{v} '[kJ/mol']]]*$A$23</f>
        <v>234.08713002993014</v>
      </c>
      <c r="G4" s="6">
        <v>290</v>
      </c>
      <c r="H4" s="6">
        <v>351.31</v>
      </c>
      <c r="I4" s="6">
        <v>77.213999999999999</v>
      </c>
      <c r="J4" s="6">
        <v>35.158999999999999</v>
      </c>
      <c r="K4" s="6">
        <f t="shared" si="0"/>
        <v>6.7946</v>
      </c>
      <c r="L4" s="6">
        <f t="shared" si="1"/>
        <v>225.96999999999997</v>
      </c>
      <c r="M4" s="6">
        <f>ABS((H4-Table003__Page_8[[#This Row],[ρ_{l} (kg/m^{3} )]])/H4)*100</f>
        <v>0.85707779454044131</v>
      </c>
      <c r="N4" s="6">
        <f>ABS((I4-Table003__Page_8[[#This Row],[ρ_{v} (kg/m^{3} )]])/I4)*100</f>
        <v>0.6177636179967414</v>
      </c>
      <c r="O4" s="6">
        <f>ABS((J4-Table003__Page_8[[#This Row],[P(bar)]])/J4)*100</f>
        <v>2.1047242526806849</v>
      </c>
      <c r="P4" s="6">
        <f>ABS((L4-Table003__Page_8[[#This Row],[∆H_{v} '[kJ/kg']]])/L4)*100</f>
        <v>3.5921272867770795</v>
      </c>
    </row>
    <row r="5" spans="1:16" x14ac:dyDescent="0.2">
      <c r="A5">
        <v>280</v>
      </c>
      <c r="B5">
        <v>385.59300000000002</v>
      </c>
      <c r="C5">
        <v>55.915999999999997</v>
      </c>
      <c r="D5">
        <v>28.616</v>
      </c>
      <c r="E5">
        <v>8.5670000000000002</v>
      </c>
      <c r="F5">
        <f>Table003__Page_8[[#This Row],[∆H_{v} '[kJ/mol']]]*$A$23</f>
        <v>284.90189557698704</v>
      </c>
      <c r="G5" s="9">
        <v>280</v>
      </c>
      <c r="H5" s="9">
        <v>382.73</v>
      </c>
      <c r="I5" s="9">
        <v>56.374000000000002</v>
      </c>
      <c r="J5" s="9">
        <v>28.067</v>
      </c>
      <c r="K5" s="9">
        <f t="shared" si="0"/>
        <v>8.2826000000000004</v>
      </c>
      <c r="L5" s="9">
        <f t="shared" si="1"/>
        <v>275.45000000000005</v>
      </c>
      <c r="M5" s="9">
        <f>ABS((H5-Table003__Page_8[[#This Row],[ρ_{l} (kg/m^{3} )]])/H5)*100</f>
        <v>0.74804692603140577</v>
      </c>
      <c r="N5" s="9">
        <f>ABS((I5-Table003__Page_8[[#This Row],[ρ_{v} (kg/m^{3} )]])/I5)*100</f>
        <v>0.81243126263881493</v>
      </c>
      <c r="O5" s="9">
        <f>ABS((J5-Table003__Page_8[[#This Row],[P(bar)]])/J5)*100</f>
        <v>1.9560337763209443</v>
      </c>
      <c r="P5" s="9">
        <f>ABS((L5-Table003__Page_8[[#This Row],[∆H_{v} '[kJ/kg']]])/L5)*100</f>
        <v>3.4314378569566157</v>
      </c>
    </row>
    <row r="6" spans="1:16" x14ac:dyDescent="0.2">
      <c r="A6">
        <v>270</v>
      </c>
      <c r="B6">
        <v>410.13200000000001</v>
      </c>
      <c r="C6">
        <v>41.707000000000001</v>
      </c>
      <c r="D6">
        <v>22.506</v>
      </c>
      <c r="E6">
        <v>9.7390000000000008</v>
      </c>
      <c r="F6">
        <f>Table003__Page_8[[#This Row],[∆H_{v} '[kJ/mol']]]*$A$23</f>
        <v>323.87761888925843</v>
      </c>
      <c r="G6" s="6">
        <v>270</v>
      </c>
      <c r="H6" s="6">
        <v>407.72</v>
      </c>
      <c r="I6" s="6">
        <v>42.088999999999999</v>
      </c>
      <c r="J6" s="6">
        <v>22.1</v>
      </c>
      <c r="K6" s="6">
        <f t="shared" si="0"/>
        <v>9.4342000000000006</v>
      </c>
      <c r="L6" s="6">
        <f t="shared" si="1"/>
        <v>313.75</v>
      </c>
      <c r="M6" s="6">
        <f>ABS((H6-Table003__Page_8[[#This Row],[ρ_{l} (kg/m^{3} )]])/H6)*100</f>
        <v>0.59158245854997982</v>
      </c>
      <c r="N6" s="6">
        <f>ABS((I6-Table003__Page_8[[#This Row],[ρ_{v} (kg/m^{3} )]])/I6)*100</f>
        <v>0.9076005607165718</v>
      </c>
      <c r="O6" s="6">
        <f>ABS((J6-Table003__Page_8[[#This Row],[P(bar)]])/J6)*100</f>
        <v>1.8371040723981844</v>
      </c>
      <c r="P6" s="6">
        <f>ABS((L6-Table003__Page_8[[#This Row],[∆H_{v} '[kJ/kg']]])/L6)*100</f>
        <v>3.2279263392058737</v>
      </c>
    </row>
    <row r="7" spans="1:16" x14ac:dyDescent="0.2">
      <c r="A7">
        <v>260</v>
      </c>
      <c r="B7">
        <v>430.63200000000001</v>
      </c>
      <c r="C7">
        <v>31.398</v>
      </c>
      <c r="D7">
        <v>17.41</v>
      </c>
      <c r="E7">
        <v>10.669</v>
      </c>
      <c r="F7">
        <f>Table003__Page_8[[#This Row],[∆H_{v} '[kJ/mol']]]*$A$23</f>
        <v>354.8054539408048</v>
      </c>
      <c r="G7" s="9">
        <v>260</v>
      </c>
      <c r="H7" s="9">
        <v>429.08</v>
      </c>
      <c r="I7" s="9">
        <v>31.577999999999999</v>
      </c>
      <c r="J7" s="9">
        <v>17.117999999999999</v>
      </c>
      <c r="K7" s="9">
        <f t="shared" si="0"/>
        <v>10.384399999999999</v>
      </c>
      <c r="L7" s="9">
        <f t="shared" si="1"/>
        <v>345.36</v>
      </c>
      <c r="M7" s="9">
        <f>ABS((H7-Table003__Page_8[[#This Row],[ρ_{l} (kg/m^{3} )]])/H7)*100</f>
        <v>0.36170411112147405</v>
      </c>
      <c r="N7" s="9">
        <f>ABS((I7-Table003__Page_8[[#This Row],[ρ_{v} (kg/m^{3} )]])/I7)*100</f>
        <v>0.57001710051301446</v>
      </c>
      <c r="O7" s="9">
        <f>ABS((J7-Table003__Page_8[[#This Row],[P(bar)]])/J7)*100</f>
        <v>1.7058067531253744</v>
      </c>
      <c r="P7" s="9">
        <f>ABS((L7-Table003__Page_8[[#This Row],[∆H_{v} '[kJ/kg']]])/L7)*100</f>
        <v>2.7349588663437521</v>
      </c>
    </row>
    <row r="8" spans="1:16" x14ac:dyDescent="0.2">
      <c r="A8">
        <v>250</v>
      </c>
      <c r="B8">
        <v>448.77199999999999</v>
      </c>
      <c r="C8">
        <v>23.533999999999999</v>
      </c>
      <c r="D8">
        <v>13.208</v>
      </c>
      <c r="E8">
        <v>11.452999999999999</v>
      </c>
      <c r="F8">
        <f>Table003__Page_8[[#This Row],[∆H_{v} '[kJ/mol']]]*$A$23</f>
        <v>380.87795144662448</v>
      </c>
      <c r="G8" s="6">
        <v>250</v>
      </c>
      <c r="H8" s="6">
        <v>448.05</v>
      </c>
      <c r="I8" s="6">
        <v>23.591000000000001</v>
      </c>
      <c r="J8" s="6">
        <v>13.007999999999999</v>
      </c>
      <c r="K8" s="6">
        <f t="shared" si="0"/>
        <v>11.1966</v>
      </c>
      <c r="L8" s="6">
        <f t="shared" si="1"/>
        <v>372.34999999999997</v>
      </c>
      <c r="M8" s="6">
        <f>ABS((H8-Table003__Page_8[[#This Row],[ρ_{l} (kg/m^{3} )]])/H8)*100</f>
        <v>0.16114272960606629</v>
      </c>
      <c r="N8" s="6">
        <f>ABS((I8-Table003__Page_8[[#This Row],[ρ_{v} (kg/m^{3} )]])/I8)*100</f>
        <v>0.24161756602094933</v>
      </c>
      <c r="O8" s="6">
        <f>ABS((J8-Table003__Page_8[[#This Row],[P(bar)]])/J8)*100</f>
        <v>1.5375153751537598</v>
      </c>
      <c r="P8" s="6">
        <f>ABS((L8-Table003__Page_8[[#This Row],[∆H_{v} '[kJ/kg']]])/L8)*100</f>
        <v>2.2903052092452034</v>
      </c>
    </row>
    <row r="9" spans="1:16" x14ac:dyDescent="0.2">
      <c r="A9">
        <v>240</v>
      </c>
      <c r="B9">
        <v>465.57</v>
      </c>
      <c r="C9">
        <v>17.423999999999999</v>
      </c>
      <c r="D9">
        <v>9.7949999999999999</v>
      </c>
      <c r="E9">
        <v>12.143000000000001</v>
      </c>
      <c r="F9">
        <f>Table003__Page_8[[#This Row],[∆H_{v} '[kJ/mol']]]*$A$23</f>
        <v>403.82440971067507</v>
      </c>
      <c r="G9" s="9">
        <v>240</v>
      </c>
      <c r="H9" s="9">
        <v>465.31</v>
      </c>
      <c r="I9" s="9">
        <v>17.434999999999999</v>
      </c>
      <c r="J9" s="9">
        <v>9.6678999999999995</v>
      </c>
      <c r="K9" s="9">
        <f t="shared" si="0"/>
        <v>11.904200000000001</v>
      </c>
      <c r="L9" s="9">
        <f t="shared" si="1"/>
        <v>395.9</v>
      </c>
      <c r="M9" s="9">
        <f>ABS((H9-Table003__Page_8[[#This Row],[ρ_{l} (kg/m^{3} )]])/H9)*100</f>
        <v>5.5876727343059658E-2</v>
      </c>
      <c r="N9" s="9">
        <f>ABS((I9-Table003__Page_8[[#This Row],[ρ_{v} (kg/m^{3} )]])/I9)*100</f>
        <v>6.3091482649837868E-2</v>
      </c>
      <c r="O9" s="9">
        <f>ABS((J9-Table003__Page_8[[#This Row],[P(bar)]])/J9)*100</f>
        <v>1.3146598537428029</v>
      </c>
      <c r="P9" s="9">
        <f>ABS((L9-Table003__Page_8[[#This Row],[∆H_{v} '[kJ/kg']]])/L9)*100</f>
        <v>2.0016190226509458</v>
      </c>
    </row>
    <row r="10" spans="1:16" x14ac:dyDescent="0.2">
      <c r="A10">
        <v>230</v>
      </c>
      <c r="B10">
        <v>481.226</v>
      </c>
      <c r="C10">
        <v>12.672000000000001</v>
      </c>
      <c r="D10">
        <v>7.0730000000000004</v>
      </c>
      <c r="E10">
        <v>12.757999999999999</v>
      </c>
      <c r="F10">
        <f>Table003__Page_8[[#This Row],[∆H_{v} '[kJ/mol']]]*$A$23</f>
        <v>424.27668772863314</v>
      </c>
      <c r="G10" s="6">
        <v>230</v>
      </c>
      <c r="H10" s="6">
        <v>481.29</v>
      </c>
      <c r="I10" s="6">
        <v>12.676</v>
      </c>
      <c r="J10" s="6">
        <v>7.0018000000000002</v>
      </c>
      <c r="K10" s="6">
        <f t="shared" si="0"/>
        <v>12.531600000000001</v>
      </c>
      <c r="L10" s="6">
        <f t="shared" si="1"/>
        <v>416.76</v>
      </c>
      <c r="M10" s="6">
        <f>ABS((H10-Table003__Page_8[[#This Row],[ρ_{l} (kg/m^{3} )]])/H10)*100</f>
        <v>1.3297596043969616E-2</v>
      </c>
      <c r="N10" s="6">
        <f>ABS((I10-Table003__Page_8[[#This Row],[ρ_{v} (kg/m^{3} )]])/I10)*100</f>
        <v>3.1555695803088986E-2</v>
      </c>
      <c r="O10" s="6">
        <f>ABS((J10-Table003__Page_8[[#This Row],[P(bar)]])/J10)*100</f>
        <v>1.0168813733611379</v>
      </c>
      <c r="P10" s="6">
        <f>ABS((L10-Table003__Page_8[[#This Row],[∆H_{v} '[kJ/kg']]])/L10)*100</f>
        <v>1.8036010482371494</v>
      </c>
    </row>
    <row r="11" spans="1:16" x14ac:dyDescent="0.2">
      <c r="A11">
        <v>220</v>
      </c>
      <c r="B11">
        <v>495.55</v>
      </c>
      <c r="C11">
        <v>9.0109999999999992</v>
      </c>
      <c r="D11">
        <v>4.9539999999999997</v>
      </c>
      <c r="E11">
        <v>13.301</v>
      </c>
      <c r="F11">
        <f>Table003__Page_8[[#This Row],[∆H_{v} '[kJ/mol']]]*$A$23</f>
        <v>442.33455271034251</v>
      </c>
      <c r="G11" s="9">
        <v>220</v>
      </c>
      <c r="H11" s="9">
        <v>496.27</v>
      </c>
      <c r="I11" s="9">
        <v>9.0174000000000003</v>
      </c>
      <c r="J11" s="9">
        <v>4.9204999999999997</v>
      </c>
      <c r="K11" s="9">
        <f t="shared" si="0"/>
        <v>13.0946</v>
      </c>
      <c r="L11" s="9">
        <f t="shared" si="1"/>
        <v>435.47300000000001</v>
      </c>
      <c r="M11" s="9">
        <f>ABS((H11-Table003__Page_8[[#This Row],[ρ_{l} (kg/m^{3} )]])/H11)*100</f>
        <v>0.14508231406290337</v>
      </c>
      <c r="N11" s="9">
        <f>ABS((I11-Table003__Page_8[[#This Row],[ρ_{v} (kg/m^{3} )]])/I11)*100</f>
        <v>7.0973894914288724E-2</v>
      </c>
      <c r="O11" s="9">
        <f>ABS((J11-Table003__Page_8[[#This Row],[P(bar)]])/J11)*100</f>
        <v>0.68082511939843693</v>
      </c>
      <c r="P11" s="9">
        <f>ABS((L11-Table003__Page_8[[#This Row],[∆H_{v} '[kJ/kg']]])/L11)*100</f>
        <v>1.5756551405810448</v>
      </c>
    </row>
    <row r="12" spans="1:16" x14ac:dyDescent="0.2">
      <c r="A12">
        <v>210</v>
      </c>
      <c r="B12">
        <v>509.44099999999997</v>
      </c>
      <c r="C12">
        <v>6.2279999999999998</v>
      </c>
      <c r="D12">
        <v>3.3460000000000001</v>
      </c>
      <c r="E12">
        <v>13.801</v>
      </c>
      <c r="F12">
        <f>Table003__Page_8[[#This Row],[∆H_{v} '[kJ/mol']]]*$A$23</f>
        <v>458.9624210176255</v>
      </c>
      <c r="G12" s="6">
        <v>210</v>
      </c>
      <c r="H12" s="6">
        <v>510.45</v>
      </c>
      <c r="I12" s="6">
        <v>6.2389999999999999</v>
      </c>
      <c r="J12" s="6">
        <v>3.3380000000000001</v>
      </c>
      <c r="K12" s="6">
        <f t="shared" si="0"/>
        <v>13.604200000000001</v>
      </c>
      <c r="L12" s="6">
        <f t="shared" si="1"/>
        <v>452.416</v>
      </c>
      <c r="M12" s="6">
        <f>ABS((H12-Table003__Page_8[[#This Row],[ρ_{l} (kg/m^{3} )]])/H12)*100</f>
        <v>0.19766872367519139</v>
      </c>
      <c r="N12" s="6">
        <f>ABS((I12-Table003__Page_8[[#This Row],[ρ_{v} (kg/m^{3} )]])/I12)*100</f>
        <v>0.17631030613880624</v>
      </c>
      <c r="O12" s="6">
        <f>ABS((J12-Table003__Page_8[[#This Row],[P(bar)]])/J12)*100</f>
        <v>0.23966446974236091</v>
      </c>
      <c r="P12" s="6">
        <f>ABS((L12-Table003__Page_8[[#This Row],[∆H_{v} '[kJ/kg']]])/L12)*100</f>
        <v>1.4469914896081273</v>
      </c>
    </row>
    <row r="13" spans="1:16" x14ac:dyDescent="0.2">
      <c r="A13">
        <v>200</v>
      </c>
      <c r="B13">
        <v>522.50300000000004</v>
      </c>
      <c r="C13">
        <v>4.1539999999999999</v>
      </c>
      <c r="D13">
        <v>2.165</v>
      </c>
      <c r="E13">
        <v>14.249000000000001</v>
      </c>
      <c r="F13">
        <f>Table003__Page_8[[#This Row],[∆H_{v} '[kJ/mol']]]*$A$23</f>
        <v>473.86099102095113</v>
      </c>
      <c r="G13" s="9">
        <v>200</v>
      </c>
      <c r="H13" s="9">
        <v>523.98</v>
      </c>
      <c r="I13" s="9">
        <v>4.1704999999999997</v>
      </c>
      <c r="J13" s="9">
        <v>2.1722999999999999</v>
      </c>
      <c r="K13" s="9">
        <f t="shared" si="0"/>
        <v>14.0695</v>
      </c>
      <c r="L13" s="9">
        <f t="shared" si="1"/>
        <v>467.89300000000003</v>
      </c>
      <c r="M13" s="9">
        <f>ABS((H13-Table003__Page_8[[#This Row],[ρ_{l} (kg/m^{3} )]])/H13)*100</f>
        <v>0.2818809878239581</v>
      </c>
      <c r="N13" s="9">
        <f>ABS((I13-Table003__Page_8[[#This Row],[ρ_{v} (kg/m^{3} )]])/I13)*100</f>
        <v>0.39563601486631667</v>
      </c>
      <c r="O13" s="9">
        <f>ABS((J13-Table003__Page_8[[#This Row],[P(bar)]])/J13)*100</f>
        <v>0.33604934861666724</v>
      </c>
      <c r="P13" s="9">
        <f>ABS((L13-Table003__Page_8[[#This Row],[∆H_{v} '[kJ/kg']]])/L13)*100</f>
        <v>1.2755033781123255</v>
      </c>
    </row>
    <row r="14" spans="1:16" x14ac:dyDescent="0.2">
      <c r="A14">
        <v>190</v>
      </c>
      <c r="B14">
        <v>535.05999999999995</v>
      </c>
      <c r="C14">
        <v>2.653</v>
      </c>
      <c r="D14">
        <v>1.3320000000000001</v>
      </c>
      <c r="E14">
        <v>14.66</v>
      </c>
      <c r="F14">
        <f>Table003__Page_8[[#This Row],[∆H_{v} '[kJ/mol']]]*$A$23</f>
        <v>487.52909876953771</v>
      </c>
      <c r="G14" s="6">
        <v>190</v>
      </c>
      <c r="H14" s="6">
        <v>536.97</v>
      </c>
      <c r="I14" s="6">
        <v>2.6720999999999999</v>
      </c>
      <c r="J14" s="6">
        <v>1.3459000000000001</v>
      </c>
      <c r="K14" s="6">
        <f t="shared" si="0"/>
        <v>14.49667</v>
      </c>
      <c r="L14" s="6">
        <f t="shared" si="1"/>
        <v>482.12300000000005</v>
      </c>
      <c r="M14" s="6">
        <f>ABS((H14-Table003__Page_8[[#This Row],[ρ_{l} (kg/m^{3} )]])/H14)*100</f>
        <v>0.35569957353298726</v>
      </c>
      <c r="N14" s="6">
        <f>ABS((I14-Table003__Page_8[[#This Row],[ρ_{v} (kg/m^{3} )]])/I14)*100</f>
        <v>0.71479360802364789</v>
      </c>
      <c r="O14" s="6">
        <f>ABS((J14-Table003__Page_8[[#This Row],[P(bar)]])/J14)*100</f>
        <v>1.0327661787651403</v>
      </c>
      <c r="P14" s="6">
        <f>ABS((L14-Table003__Page_8[[#This Row],[∆H_{v} '[kJ/kg']]])/L14)*100</f>
        <v>1.1213111113839545</v>
      </c>
    </row>
    <row r="15" spans="1:16" x14ac:dyDescent="0.2">
      <c r="A15">
        <v>180</v>
      </c>
      <c r="B15">
        <v>547.94299999999998</v>
      </c>
      <c r="C15">
        <v>1.6060000000000001</v>
      </c>
      <c r="D15">
        <v>0.77</v>
      </c>
      <c r="E15">
        <v>15.061</v>
      </c>
      <c r="F15">
        <f>Table003__Page_8[[#This Row],[∆H_{v} '[kJ/mol']]]*$A$23</f>
        <v>500.86464915197871</v>
      </c>
      <c r="G15" s="9">
        <v>180</v>
      </c>
      <c r="H15" s="9">
        <v>549.51</v>
      </c>
      <c r="I15" s="9">
        <v>1.6253</v>
      </c>
      <c r="J15" s="9">
        <v>0.78637999999999997</v>
      </c>
      <c r="K15" s="9">
        <f t="shared" si="0"/>
        <v>14.89359</v>
      </c>
      <c r="L15" s="9">
        <f t="shared" si="1"/>
        <v>495.30799999999999</v>
      </c>
      <c r="M15" s="9">
        <f>ABS((H15-Table003__Page_8[[#This Row],[ρ_{l} (kg/m^{3} )]])/H15)*100</f>
        <v>0.28516314534767467</v>
      </c>
      <c r="N15" s="9">
        <f>ABS((I15-Table003__Page_8[[#This Row],[ρ_{v} (kg/m^{3} )]])/I15)*100</f>
        <v>1.1874730818925658</v>
      </c>
      <c r="O15" s="9">
        <f>ABS((J15-Table003__Page_8[[#This Row],[P(bar)]])/J15)*100</f>
        <v>2.0829624354637644</v>
      </c>
      <c r="P15" s="9">
        <f>ABS((L15-Table003__Page_8[[#This Row],[∆H_{v} '[kJ/kg']]])/L15)*100</f>
        <v>1.1218573396712184</v>
      </c>
    </row>
    <row r="16" spans="1:16" x14ac:dyDescent="0.2">
      <c r="A16">
        <v>170</v>
      </c>
      <c r="B16">
        <v>560.45100000000002</v>
      </c>
      <c r="C16">
        <v>0.91</v>
      </c>
      <c r="D16">
        <v>0.41199999999999998</v>
      </c>
      <c r="E16">
        <v>15.436</v>
      </c>
      <c r="F16">
        <f>Table003__Page_8[[#This Row],[∆H_{v} '[kJ/mol']]]*$A$23</f>
        <v>513.33555038244094</v>
      </c>
      <c r="G16" s="6">
        <v>170</v>
      </c>
      <c r="H16" s="6">
        <v>561.67999999999995</v>
      </c>
      <c r="I16" s="6">
        <v>0.92742000000000002</v>
      </c>
      <c r="J16" s="6">
        <v>0.42819000000000002</v>
      </c>
      <c r="K16" s="6">
        <f t="shared" si="0"/>
        <v>15.263500000000001</v>
      </c>
      <c r="L16" s="6">
        <f t="shared" si="1"/>
        <v>507.62300000000005</v>
      </c>
      <c r="M16" s="6">
        <f>ABS((H16-Table003__Page_8[[#This Row],[ρ_{l} (kg/m^{3} )]])/H16)*100</f>
        <v>0.21880786212788925</v>
      </c>
      <c r="N16" s="6">
        <f>ABS((I16-Table003__Page_8[[#This Row],[ρ_{v} (kg/m^{3} )]])/I16)*100</f>
        <v>1.8783291281188663</v>
      </c>
      <c r="O16" s="6">
        <f>ABS((J16-Table003__Page_8[[#This Row],[P(bar)]])/J16)*100</f>
        <v>3.7810317849552852</v>
      </c>
      <c r="P16" s="6">
        <f>ABS((L16-Table003__Page_8[[#This Row],[∆H_{v} '[kJ/kg']]])/L16)*100</f>
        <v>1.12535294548137</v>
      </c>
    </row>
    <row r="17" spans="1:17" x14ac:dyDescent="0.2">
      <c r="A17">
        <v>160</v>
      </c>
      <c r="B17">
        <v>571.36699999999996</v>
      </c>
      <c r="C17">
        <v>0.47599999999999998</v>
      </c>
      <c r="D17">
        <v>0.2</v>
      </c>
      <c r="E17">
        <v>15.747999999999999</v>
      </c>
      <c r="F17">
        <f>Table003__Page_8[[#This Row],[∆H_{v} '[kJ/mol']]]*$A$23</f>
        <v>523.71134020618547</v>
      </c>
      <c r="G17" s="9">
        <v>160</v>
      </c>
      <c r="H17" s="9">
        <v>573.54999999999995</v>
      </c>
      <c r="I17" s="9">
        <v>0.48901</v>
      </c>
      <c r="J17" s="9">
        <v>0.21404999999999999</v>
      </c>
      <c r="K17" s="9">
        <f t="shared" si="0"/>
        <v>15.6134</v>
      </c>
      <c r="L17" s="9">
        <f t="shared" si="1"/>
        <v>519.255</v>
      </c>
      <c r="M17" s="9">
        <f>ABS((H17-Table003__Page_8[[#This Row],[ρ_{l} (kg/m^{3} )]])/H17)*100</f>
        <v>0.38061197803155661</v>
      </c>
      <c r="N17" s="9">
        <f>ABS((I17-Table003__Page_8[[#This Row],[ρ_{v} (kg/m^{3} )]])/I17)*100</f>
        <v>2.6604772908529521</v>
      </c>
      <c r="O17" s="9">
        <f>ABS((J17-Table003__Page_8[[#This Row],[P(bar)]])/J17)*100</f>
        <v>6.5638869423031903</v>
      </c>
      <c r="P17" s="9">
        <f>ABS((L17-Table003__Page_8[[#This Row],[∆H_{v} '[kJ/kg']]])/L17)*100</f>
        <v>0.85821806360756714</v>
      </c>
    </row>
    <row r="18" spans="1:17" x14ac:dyDescent="0.2">
      <c r="L18" s="11" t="s">
        <v>7</v>
      </c>
      <c r="M18" s="11">
        <f>AVERAGE(M2:M17)</f>
        <v>2.0643786567447981</v>
      </c>
      <c r="N18" s="11">
        <f t="shared" ref="N18:P18" si="2">AVERAGE(N2:N17)</f>
        <v>3.1941882157118866</v>
      </c>
      <c r="O18" s="11">
        <f t="shared" si="2"/>
        <v>1.8595293113015967</v>
      </c>
      <c r="P18" s="11">
        <f t="shared" si="2"/>
        <v>14.402866091564068</v>
      </c>
    </row>
    <row r="19" spans="1:17" x14ac:dyDescent="0.2">
      <c r="L19" t="s">
        <v>20</v>
      </c>
      <c r="O19" t="s">
        <v>21</v>
      </c>
    </row>
    <row r="20" spans="1:17" x14ac:dyDescent="0.2">
      <c r="A20" t="s">
        <v>14</v>
      </c>
      <c r="C20" t="s">
        <v>17</v>
      </c>
      <c r="D20" t="s">
        <v>16</v>
      </c>
      <c r="L20">
        <v>12448</v>
      </c>
      <c r="M20">
        <v>14058</v>
      </c>
      <c r="N20">
        <f>(M20-L20)/1000</f>
        <v>1.61</v>
      </c>
      <c r="O20">
        <v>413.98</v>
      </c>
      <c r="P20">
        <v>467.52</v>
      </c>
      <c r="Q20">
        <f>P20-O20</f>
        <v>53.539999999999964</v>
      </c>
    </row>
    <row r="21" spans="1:17" x14ac:dyDescent="0.2">
      <c r="A21">
        <v>30.07</v>
      </c>
      <c r="B21" t="s">
        <v>18</v>
      </c>
      <c r="L21">
        <v>10957</v>
      </c>
      <c r="M21">
        <v>15458</v>
      </c>
      <c r="N21">
        <f t="shared" ref="N21:N35" si="3">(M21-L21)/1000</f>
        <v>4.5010000000000003</v>
      </c>
      <c r="O21">
        <v>364.39</v>
      </c>
      <c r="P21">
        <v>514.1</v>
      </c>
      <c r="Q21">
        <f t="shared" ref="Q21:Q35" si="4">P21-O21</f>
        <v>149.71000000000004</v>
      </c>
    </row>
    <row r="22" spans="1:17" x14ac:dyDescent="0.2">
      <c r="A22">
        <f>A21/1000</f>
        <v>3.007E-2</v>
      </c>
      <c r="B22" t="s">
        <v>19</v>
      </c>
      <c r="L22">
        <v>9420.4</v>
      </c>
      <c r="M22">
        <v>16215</v>
      </c>
      <c r="N22">
        <f t="shared" si="3"/>
        <v>6.7946</v>
      </c>
      <c r="O22">
        <v>313.29000000000002</v>
      </c>
      <c r="P22">
        <v>539.26</v>
      </c>
      <c r="Q22">
        <f t="shared" si="4"/>
        <v>225.96999999999997</v>
      </c>
    </row>
    <row r="23" spans="1:17" x14ac:dyDescent="0.2">
      <c r="A23" s="11">
        <f>1/A22</f>
        <v>33.255736614566011</v>
      </c>
      <c r="B23" s="11" t="s">
        <v>16</v>
      </c>
      <c r="L23">
        <v>8212.4</v>
      </c>
      <c r="M23">
        <v>16495</v>
      </c>
      <c r="N23">
        <f t="shared" si="3"/>
        <v>8.2826000000000004</v>
      </c>
      <c r="O23">
        <v>273.12</v>
      </c>
      <c r="P23">
        <v>548.57000000000005</v>
      </c>
      <c r="Q23">
        <f t="shared" si="4"/>
        <v>275.45000000000005</v>
      </c>
    </row>
    <row r="24" spans="1:17" x14ac:dyDescent="0.2">
      <c r="L24">
        <v>7143.8</v>
      </c>
      <c r="M24">
        <v>16578</v>
      </c>
      <c r="N24">
        <f t="shared" si="3"/>
        <v>9.4342000000000006</v>
      </c>
      <c r="O24">
        <v>237.58</v>
      </c>
      <c r="P24">
        <v>551.33000000000004</v>
      </c>
      <c r="Q24">
        <f t="shared" si="4"/>
        <v>313.75</v>
      </c>
    </row>
    <row r="25" spans="1:17" x14ac:dyDescent="0.2">
      <c r="L25">
        <v>6160.6</v>
      </c>
      <c r="M25">
        <v>16545</v>
      </c>
      <c r="N25">
        <f t="shared" si="3"/>
        <v>10.384399999999999</v>
      </c>
      <c r="O25">
        <v>204.88</v>
      </c>
      <c r="P25">
        <v>550.24</v>
      </c>
      <c r="Q25">
        <f t="shared" si="4"/>
        <v>345.36</v>
      </c>
    </row>
    <row r="26" spans="1:17" x14ac:dyDescent="0.2">
      <c r="L26">
        <v>5237.3999999999996</v>
      </c>
      <c r="M26">
        <v>16434</v>
      </c>
      <c r="N26">
        <f t="shared" si="3"/>
        <v>11.1966</v>
      </c>
      <c r="O26">
        <v>174.18</v>
      </c>
      <c r="P26">
        <v>546.53</v>
      </c>
      <c r="Q26">
        <f t="shared" si="4"/>
        <v>372.34999999999997</v>
      </c>
    </row>
    <row r="27" spans="1:17" x14ac:dyDescent="0.2">
      <c r="L27">
        <v>4359.8</v>
      </c>
      <c r="M27">
        <v>16264</v>
      </c>
      <c r="N27">
        <f t="shared" si="3"/>
        <v>11.904200000000001</v>
      </c>
      <c r="O27">
        <v>144.99</v>
      </c>
      <c r="P27">
        <v>540.89</v>
      </c>
      <c r="Q27">
        <f t="shared" si="4"/>
        <v>395.9</v>
      </c>
    </row>
    <row r="28" spans="1:17" x14ac:dyDescent="0.2">
      <c r="L28">
        <v>3518.4</v>
      </c>
      <c r="M28">
        <v>16050</v>
      </c>
      <c r="N28">
        <f t="shared" si="3"/>
        <v>12.531600000000001</v>
      </c>
      <c r="O28">
        <v>117.01</v>
      </c>
      <c r="P28">
        <v>533.77</v>
      </c>
      <c r="Q28">
        <f t="shared" si="4"/>
        <v>416.76</v>
      </c>
    </row>
    <row r="29" spans="1:17" x14ac:dyDescent="0.2">
      <c r="L29">
        <v>2706.4</v>
      </c>
      <c r="M29">
        <v>15801</v>
      </c>
      <c r="N29">
        <f t="shared" si="3"/>
        <v>13.0946</v>
      </c>
      <c r="O29">
        <v>90.007000000000005</v>
      </c>
      <c r="P29">
        <v>525.48</v>
      </c>
      <c r="Q29">
        <f t="shared" si="4"/>
        <v>435.47300000000001</v>
      </c>
    </row>
    <row r="30" spans="1:17" x14ac:dyDescent="0.2">
      <c r="L30">
        <v>1918.8</v>
      </c>
      <c r="M30">
        <v>15523</v>
      </c>
      <c r="N30">
        <f t="shared" si="3"/>
        <v>13.604200000000001</v>
      </c>
      <c r="O30">
        <v>63.814</v>
      </c>
      <c r="P30">
        <v>516.23</v>
      </c>
      <c r="Q30">
        <f t="shared" si="4"/>
        <v>452.416</v>
      </c>
    </row>
    <row r="31" spans="1:17" x14ac:dyDescent="0.2">
      <c r="L31">
        <v>1151.5</v>
      </c>
      <c r="M31">
        <v>15221</v>
      </c>
      <c r="N31">
        <f t="shared" si="3"/>
        <v>14.0695</v>
      </c>
      <c r="O31">
        <v>38.296999999999997</v>
      </c>
      <c r="P31">
        <v>506.19</v>
      </c>
      <c r="Q31">
        <f t="shared" si="4"/>
        <v>467.89300000000003</v>
      </c>
    </row>
    <row r="32" spans="1:17" x14ac:dyDescent="0.2">
      <c r="L32">
        <v>401.33</v>
      </c>
      <c r="M32">
        <v>14898</v>
      </c>
      <c r="N32">
        <f t="shared" si="3"/>
        <v>14.49667</v>
      </c>
      <c r="O32">
        <v>13.347</v>
      </c>
      <c r="P32">
        <v>495.47</v>
      </c>
      <c r="Q32">
        <f t="shared" si="4"/>
        <v>482.12300000000005</v>
      </c>
    </row>
    <row r="33" spans="12:17" x14ac:dyDescent="0.2">
      <c r="L33">
        <v>-334.59</v>
      </c>
      <c r="M33">
        <v>14559</v>
      </c>
      <c r="N33">
        <f t="shared" si="3"/>
        <v>14.89359</v>
      </c>
      <c r="O33">
        <v>-11.128</v>
      </c>
      <c r="P33">
        <v>484.18</v>
      </c>
      <c r="Q33">
        <f t="shared" si="4"/>
        <v>495.30799999999999</v>
      </c>
    </row>
    <row r="34" spans="12:17" x14ac:dyDescent="0.2">
      <c r="L34">
        <v>-1058.5</v>
      </c>
      <c r="M34">
        <v>14205</v>
      </c>
      <c r="N34">
        <f t="shared" si="3"/>
        <v>15.263500000000001</v>
      </c>
      <c r="O34">
        <v>-35.203000000000003</v>
      </c>
      <c r="P34">
        <v>472.42</v>
      </c>
      <c r="Q34">
        <f t="shared" si="4"/>
        <v>507.62300000000005</v>
      </c>
    </row>
    <row r="35" spans="12:17" x14ac:dyDescent="0.2">
      <c r="L35">
        <v>-1772.4</v>
      </c>
      <c r="M35">
        <v>13841</v>
      </c>
      <c r="N35">
        <f t="shared" si="3"/>
        <v>15.6134</v>
      </c>
      <c r="O35">
        <v>-58.945</v>
      </c>
      <c r="P35">
        <v>460.31</v>
      </c>
      <c r="Q35">
        <f t="shared" si="4"/>
        <v>519.255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BB10-24E8-48FD-B093-13769DBE0807}">
  <dimension ref="A1:O24"/>
  <sheetViews>
    <sheetView topLeftCell="E1" workbookViewId="0">
      <selection activeCell="L1" sqref="L1:O1"/>
    </sheetView>
  </sheetViews>
  <sheetFormatPr baseColWidth="10" defaultColWidth="8.83203125" defaultRowHeight="15" x14ac:dyDescent="0.2"/>
  <cols>
    <col min="1" max="1" width="6.83203125" bestFit="1" customWidth="1"/>
    <col min="2" max="2" width="17.1640625" bestFit="1" customWidth="1"/>
    <col min="3" max="3" width="17.6640625" bestFit="1" customWidth="1"/>
    <col min="4" max="4" width="8.33203125" bestFit="1" customWidth="1"/>
    <col min="5" max="5" width="16.33203125" bestFit="1" customWidth="1"/>
    <col min="6" max="6" width="16.33203125" customWidth="1"/>
    <col min="7" max="7" width="10.83203125" bestFit="1" customWidth="1"/>
    <col min="8" max="8" width="18.1640625" bestFit="1" customWidth="1"/>
    <col min="9" max="9" width="18.6640625" bestFit="1" customWidth="1"/>
    <col min="10" max="10" width="15.33203125" bestFit="1" customWidth="1"/>
    <col min="11" max="11" width="17.33203125" bestFit="1" customWidth="1"/>
    <col min="12" max="12" width="11.6640625" bestFit="1" customWidth="1"/>
    <col min="13" max="13" width="12.1640625" bestFit="1" customWidth="1"/>
    <col min="14" max="14" width="8.5" bestFit="1" customWidth="1"/>
    <col min="15" max="15" width="11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s="1" t="s">
        <v>27</v>
      </c>
      <c r="H1" s="2" t="s">
        <v>24</v>
      </c>
      <c r="I1" s="2" t="s">
        <v>25</v>
      </c>
      <c r="J1" s="2" t="s">
        <v>26</v>
      </c>
      <c r="K1" s="3" t="s">
        <v>54</v>
      </c>
      <c r="L1" s="10" t="s">
        <v>10</v>
      </c>
      <c r="M1" s="10" t="s">
        <v>11</v>
      </c>
      <c r="N1" s="10" t="s">
        <v>12</v>
      </c>
      <c r="O1" s="10" t="s">
        <v>13</v>
      </c>
    </row>
    <row r="2" spans="1:15" x14ac:dyDescent="0.2">
      <c r="A2">
        <v>230</v>
      </c>
      <c r="B2">
        <v>852.29700000000003</v>
      </c>
      <c r="C2">
        <v>369.69900000000001</v>
      </c>
      <c r="D2">
        <v>39.747</v>
      </c>
      <c r="E2">
        <v>3.2360000000000002</v>
      </c>
      <c r="F2">
        <f>Table011__Page_15[[#This Row],[∆H_{v} '[kJ/mol']]]*$A$18</f>
        <v>36.770930511350016</v>
      </c>
      <c r="G2" s="4">
        <v>230</v>
      </c>
      <c r="H2" s="13" t="s">
        <v>53</v>
      </c>
      <c r="I2" s="13" t="s">
        <v>53</v>
      </c>
      <c r="J2" s="13" t="s">
        <v>53</v>
      </c>
      <c r="K2" s="13" t="s">
        <v>53</v>
      </c>
      <c r="L2" s="13" t="s">
        <v>53</v>
      </c>
      <c r="M2" s="13" t="s">
        <v>53</v>
      </c>
      <c r="N2" s="13" t="s">
        <v>53</v>
      </c>
      <c r="O2" s="13" t="s">
        <v>53</v>
      </c>
    </row>
    <row r="3" spans="1:15" x14ac:dyDescent="0.2">
      <c r="A3">
        <v>220</v>
      </c>
      <c r="B3">
        <v>1000.626</v>
      </c>
      <c r="C3">
        <v>260.03899999999999</v>
      </c>
      <c r="D3">
        <v>29.945</v>
      </c>
      <c r="E3">
        <v>4.9740000000000002</v>
      </c>
      <c r="F3">
        <f>Table011__Page_15[[#This Row],[∆H_{v} '[kJ/mol']]]*$A$18</f>
        <v>56.519965501685711</v>
      </c>
      <c r="G3" s="7">
        <v>220</v>
      </c>
      <c r="H3" s="8">
        <f>'r14_exp_data'!C2</f>
        <v>998.47</v>
      </c>
      <c r="I3" s="8">
        <f>'r14_exp_data'!O2</f>
        <v>272.43</v>
      </c>
      <c r="J3" s="8">
        <f>'r14_exp_data'!B2</f>
        <v>30.021000000000001</v>
      </c>
      <c r="K3">
        <f>'r14_exp_data'!Z2*'r14'!$A$18</f>
        <v>54.190533871640383</v>
      </c>
      <c r="L3">
        <f>ABS((Table011__Page_15[[#This Row],[ρ_{l} (kg/m^{3} )3]]-Table011__Page_15[[#This Row],[ρ_{l} (kg/m^{3} )]])/Table011__Page_15[[#This Row],[ρ_{l} (kg/m^{3} )3]])*100</f>
        <v>0.21593037347140617</v>
      </c>
      <c r="M3">
        <f>ABS((Table011__Page_15[[#This Row],[ρ_{v} (kg/m^{3} )4]]-Table011__Page_15[[#This Row],[ρ_{v} (kg/m^{3} )]])/Table011__Page_15[[#This Row],[ρ_{v} (kg/m^{3} )4]])*100</f>
        <v>4.5483243401974889</v>
      </c>
      <c r="N3">
        <f>ABS((Table011__Page_15[[#This Row],[P(bar)5]]-Table011__Page_15[[#This Row],[P(bar)]])/Table011__Page_15[[#This Row],[P(bar)5]])*100</f>
        <v>0.25315612404650251</v>
      </c>
      <c r="O3">
        <f>ABS((Table011__Page_15[[#This Row],[∆H_{v} '[kJ/kg']6]]-Table011__Page_15[[#This Row],[∆H_{v} '[kJ/kg']]])/Table011__Page_15[[#This Row],[∆H_{v} '[kJ/kg']6]])*100</f>
        <v>4.298595093310924</v>
      </c>
    </row>
    <row r="4" spans="1:15" x14ac:dyDescent="0.2">
      <c r="A4">
        <v>210</v>
      </c>
      <c r="B4">
        <v>1146.7819999999999</v>
      </c>
      <c r="C4">
        <v>165.892</v>
      </c>
      <c r="D4">
        <v>21.863</v>
      </c>
      <c r="E4">
        <v>6.819</v>
      </c>
      <c r="F4">
        <f>Table011__Page_15[[#This Row],[∆H_{v} '[kJ/mol']]]*$A$18</f>
        <v>77.484850172093857</v>
      </c>
      <c r="G4" s="4">
        <v>210</v>
      </c>
      <c r="H4" s="8">
        <f>'r14_exp_data'!C3</f>
        <v>1142.5</v>
      </c>
      <c r="I4" s="8">
        <f>'r14_exp_data'!O3</f>
        <v>169.76</v>
      </c>
      <c r="J4" s="8">
        <f>'r14_exp_data'!B3</f>
        <v>21.864000000000001</v>
      </c>
      <c r="K4">
        <f>'r14_exp_data'!Z3*'r14'!$A$18</f>
        <v>75.632667949179734</v>
      </c>
      <c r="L4">
        <f>ABS((Table011__Page_15[[#This Row],[ρ_{l} (kg/m^{3} )3]]-Table011__Page_15[[#This Row],[ρ_{l} (kg/m^{3} )]])/Table011__Page_15[[#This Row],[ρ_{l} (kg/m^{3} )3]])*100</f>
        <v>0.3747921225382867</v>
      </c>
      <c r="M4">
        <f>ABS((Table011__Page_15[[#This Row],[ρ_{v} (kg/m^{3} )4]]-Table011__Page_15[[#This Row],[ρ_{v} (kg/m^{3} )]])/Table011__Page_15[[#This Row],[ρ_{v} (kg/m^{3} )4]])*100</f>
        <v>2.2785108388312882</v>
      </c>
      <c r="N4">
        <f>ABS((Table011__Page_15[[#This Row],[P(bar)5]]-Table011__Page_15[[#This Row],[P(bar)]])/Table011__Page_15[[#This Row],[P(bar)5]])*100</f>
        <v>4.5737285034816227E-3</v>
      </c>
      <c r="O4">
        <f>ABS((Table011__Page_15[[#This Row],[∆H_{v} '[kJ/kg']6]]-Table011__Page_15[[#This Row],[∆H_{v} '[kJ/kg']]])/Table011__Page_15[[#This Row],[∆H_{v} '[kJ/kg']6]])*100</f>
        <v>2.4489182692307909</v>
      </c>
    </row>
    <row r="5" spans="1:15" x14ac:dyDescent="0.2">
      <c r="A5">
        <v>200</v>
      </c>
      <c r="B5">
        <v>1250.684</v>
      </c>
      <c r="C5">
        <v>109.779</v>
      </c>
      <c r="D5">
        <v>15.537000000000001</v>
      </c>
      <c r="E5">
        <v>8.1280000000000001</v>
      </c>
      <c r="F5">
        <f>Table011__Page_15[[#This Row],[∆H_{v} '[kJ/mol']]]*$A$18</f>
        <v>92.359123361017581</v>
      </c>
      <c r="G5" s="7">
        <v>200</v>
      </c>
      <c r="H5" s="8">
        <f>'r14_exp_data'!C4</f>
        <v>1243.0999999999999</v>
      </c>
      <c r="I5" s="8">
        <f>'r14_exp_data'!O4</f>
        <v>112.09</v>
      </c>
      <c r="J5" s="8">
        <f>'r14_exp_data'!B4</f>
        <v>15.523</v>
      </c>
      <c r="K5">
        <f>'r14_exp_data'!Z4*'r14'!$A$18</f>
        <v>90.166048704438325</v>
      </c>
      <c r="L5">
        <f>ABS((Table011__Page_15[[#This Row],[ρ_{l} (kg/m^{3} )3]]-Table011__Page_15[[#This Row],[ρ_{l} (kg/m^{3} )]])/Table011__Page_15[[#This Row],[ρ_{l} (kg/m^{3} )3]])*100</f>
        <v>0.61008768401577196</v>
      </c>
      <c r="M5">
        <f>ABS((Table011__Page_15[[#This Row],[ρ_{v} (kg/m^{3} )4]]-Table011__Page_15[[#This Row],[ρ_{v} (kg/m^{3} )]])/Table011__Page_15[[#This Row],[ρ_{v} (kg/m^{3} )4]])*100</f>
        <v>2.061736104915699</v>
      </c>
      <c r="N5">
        <f>ABS((Table011__Page_15[[#This Row],[P(bar)5]]-Table011__Page_15[[#This Row],[P(bar)]])/Table011__Page_15[[#This Row],[P(bar)5]])*100</f>
        <v>9.018875217420036E-2</v>
      </c>
      <c r="O5">
        <f>ABS((Table011__Page_15[[#This Row],[∆H_{v} '[kJ/kg']6]]-Table011__Page_15[[#This Row],[∆H_{v} '[kJ/kg']]])/Table011__Page_15[[#This Row],[∆H_{v} '[kJ/kg']6]])*100</f>
        <v>2.4322621298046352</v>
      </c>
    </row>
    <row r="6" spans="1:15" x14ac:dyDescent="0.2">
      <c r="A6">
        <v>190</v>
      </c>
      <c r="B6">
        <v>1334.748</v>
      </c>
      <c r="C6">
        <v>73.207999999999998</v>
      </c>
      <c r="D6">
        <v>10.664999999999999</v>
      </c>
      <c r="E6">
        <v>9.1240000000000006</v>
      </c>
      <c r="F6">
        <f>Table011__Page_15[[#This Row],[∆H_{v} '[kJ/mol']]]*$A$18</f>
        <v>103.67675215870133</v>
      </c>
      <c r="G6" s="4">
        <v>190</v>
      </c>
      <c r="H6" s="8">
        <f>'r14_exp_data'!C5</f>
        <v>1325.3</v>
      </c>
      <c r="I6" s="8">
        <f>'r14_exp_data'!O5</f>
        <v>74.361000000000004</v>
      </c>
      <c r="J6" s="8">
        <f>'r14_exp_data'!B5</f>
        <v>10.663</v>
      </c>
      <c r="K6">
        <f>'r14_exp_data'!Z5*'r14'!$A$18</f>
        <v>101.50640366436639</v>
      </c>
      <c r="L6">
        <f>ABS((Table011__Page_15[[#This Row],[ρ_{l} (kg/m^{3} )3]]-Table011__Page_15[[#This Row],[ρ_{l} (kg/m^{3} )]])/Table011__Page_15[[#This Row],[ρ_{l} (kg/m^{3} )3]])*100</f>
        <v>0.71289519354109199</v>
      </c>
      <c r="M6">
        <f>ABS((Table011__Page_15[[#This Row],[ρ_{v} (kg/m^{3} )4]]-Table011__Page_15[[#This Row],[ρ_{v} (kg/m^{3} )]])/Table011__Page_15[[#This Row],[ρ_{v} (kg/m^{3} )4]])*100</f>
        <v>1.5505439679401913</v>
      </c>
      <c r="N6">
        <f>ABS((Table011__Page_15[[#This Row],[P(bar)5]]-Table011__Page_15[[#This Row],[P(bar)]])/Table011__Page_15[[#This Row],[P(bar)5]])*100</f>
        <v>1.8756447528827644E-2</v>
      </c>
      <c r="O6">
        <f>ABS((Table011__Page_15[[#This Row],[∆H_{v} '[kJ/kg']6]]-Table011__Page_15[[#This Row],[∆H_{v} '[kJ/kg']]])/Table011__Page_15[[#This Row],[∆H_{v} '[kJ/kg']6]])*100</f>
        <v>2.1381394828165323</v>
      </c>
    </row>
    <row r="7" spans="1:15" x14ac:dyDescent="0.2">
      <c r="A7">
        <v>180</v>
      </c>
      <c r="B7">
        <v>1400.4459999999999</v>
      </c>
      <c r="C7">
        <v>47.991</v>
      </c>
      <c r="D7">
        <v>7.0209999999999999</v>
      </c>
      <c r="E7">
        <v>9.8840000000000003</v>
      </c>
      <c r="F7">
        <f>Table011__Page_15[[#This Row],[∆H_{v} '[kJ/mol']]]*$A$18</f>
        <v>112.31269381155239</v>
      </c>
      <c r="G7" s="7">
        <v>180</v>
      </c>
      <c r="H7" s="8">
        <f>'r14_exp_data'!C6</f>
        <v>1396.7</v>
      </c>
      <c r="I7" s="8">
        <f>'r14_exp_data'!O6</f>
        <v>48.509</v>
      </c>
      <c r="J7" s="8">
        <f>'r14_exp_data'!B6</f>
        <v>7.0294999999999996</v>
      </c>
      <c r="K7">
        <f>'r14_exp_data'!Z6*'r14'!$A$18</f>
        <v>110.83549326566998</v>
      </c>
      <c r="L7">
        <f>ABS((Table011__Page_15[[#This Row],[ρ_{l} (kg/m^{3} )3]]-Table011__Page_15[[#This Row],[ρ_{l} (kg/m^{3} )]])/Table011__Page_15[[#This Row],[ρ_{l} (kg/m^{3} )3]])*100</f>
        <v>0.26820362282522142</v>
      </c>
      <c r="M7">
        <f>ABS((Table011__Page_15[[#This Row],[ρ_{v} (kg/m^{3} )4]]-Table011__Page_15[[#This Row],[ρ_{v} (kg/m^{3} )]])/Table011__Page_15[[#This Row],[ρ_{v} (kg/m^{3} )4]])*100</f>
        <v>1.0678430806654449</v>
      </c>
      <c r="N7">
        <f>ABS((Table011__Page_15[[#This Row],[P(bar)5]]-Table011__Page_15[[#This Row],[P(bar)]])/Table011__Page_15[[#This Row],[P(bar)5]])*100</f>
        <v>0.12091898428052821</v>
      </c>
      <c r="O7">
        <f>ABS((Table011__Page_15[[#This Row],[∆H_{v} '[kJ/kg']6]]-Table011__Page_15[[#This Row],[∆H_{v} '[kJ/kg']]])/Table011__Page_15[[#This Row],[∆H_{v} '[kJ/kg']6]])*100</f>
        <v>1.3327865491080526</v>
      </c>
    </row>
    <row r="8" spans="1:15" x14ac:dyDescent="0.2">
      <c r="A8">
        <v>170</v>
      </c>
      <c r="B8">
        <v>1464.499</v>
      </c>
      <c r="C8">
        <v>30.378</v>
      </c>
      <c r="D8">
        <v>4.3929999999999998</v>
      </c>
      <c r="E8">
        <v>10.573</v>
      </c>
      <c r="F8">
        <f>Table011__Page_15[[#This Row],[∆H_{v} '[kJ/mol']]]*$A$18</f>
        <v>120.14185670472919</v>
      </c>
      <c r="G8" s="4">
        <v>170</v>
      </c>
      <c r="H8" s="8">
        <f>'r14_exp_data'!C7</f>
        <v>1461.2</v>
      </c>
      <c r="I8" s="8">
        <f>'r14_exp_data'!O7</f>
        <v>30.640999999999998</v>
      </c>
      <c r="J8" s="8">
        <f>'r14_exp_data'!B7</f>
        <v>4.4054000000000002</v>
      </c>
      <c r="K8">
        <f>'r14_exp_data'!Z7*'r14'!$A$18</f>
        <v>118.77828697006849</v>
      </c>
      <c r="L8">
        <f>ABS((Table011__Page_15[[#This Row],[ρ_{l} (kg/m^{3} )3]]-Table011__Page_15[[#This Row],[ρ_{l} (kg/m^{3} )]])/Table011__Page_15[[#This Row],[ρ_{l} (kg/m^{3} )3]])*100</f>
        <v>0.22577333698329988</v>
      </c>
      <c r="M8">
        <f>ABS((Table011__Page_15[[#This Row],[ρ_{v} (kg/m^{3} )4]]-Table011__Page_15[[#This Row],[ρ_{v} (kg/m^{3} )]])/Table011__Page_15[[#This Row],[ρ_{v} (kg/m^{3} )4]])*100</f>
        <v>0.85832707809796716</v>
      </c>
      <c r="N8">
        <f>ABS((Table011__Page_15[[#This Row],[P(bar)5]]-Table011__Page_15[[#This Row],[P(bar)]])/Table011__Page_15[[#This Row],[P(bar)5]])*100</f>
        <v>0.28147273800336881</v>
      </c>
      <c r="O8">
        <f>ABS((Table011__Page_15[[#This Row],[∆H_{v} '[kJ/kg']6]]-Table011__Page_15[[#This Row],[∆H_{v} '[kJ/kg']]])/Table011__Page_15[[#This Row],[∆H_{v} '[kJ/kg']6]])*100</f>
        <v>1.1479957906821074</v>
      </c>
    </row>
    <row r="9" spans="1:15" x14ac:dyDescent="0.2">
      <c r="A9">
        <v>160</v>
      </c>
      <c r="B9">
        <v>1524.403</v>
      </c>
      <c r="C9">
        <v>18.274000000000001</v>
      </c>
      <c r="D9">
        <v>2.577</v>
      </c>
      <c r="E9">
        <v>11.186</v>
      </c>
      <c r="F9">
        <f>Table011__Page_15[[#This Row],[∆H_{v} '[kJ/mol']]]*$A$18</f>
        <v>127.1074254326209</v>
      </c>
      <c r="G9" s="7">
        <v>160</v>
      </c>
      <c r="H9" s="8">
        <f>'r14_exp_data'!C8</f>
        <v>1520.8</v>
      </c>
      <c r="I9" s="8">
        <f>'r14_exp_data'!O8</f>
        <v>18.463000000000001</v>
      </c>
      <c r="J9" s="8">
        <f>'r14_exp_data'!B8</f>
        <v>2.5931999999999999</v>
      </c>
      <c r="K9">
        <f>'r14_exp_data'!Z8*'r14'!$A$18</f>
        <v>125.65295104898283</v>
      </c>
      <c r="L9">
        <f>ABS((Table011__Page_15[[#This Row],[ρ_{l} (kg/m^{3} )3]]-Table011__Page_15[[#This Row],[ρ_{l} (kg/m^{3} )]])/Table011__Page_15[[#This Row],[ρ_{l} (kg/m^{3} )3]])*100</f>
        <v>0.23691478169384966</v>
      </c>
      <c r="M9">
        <f>ABS((Table011__Page_15[[#This Row],[ρ_{v} (kg/m^{3} )4]]-Table011__Page_15[[#This Row],[ρ_{v} (kg/m^{3} )]])/Table011__Page_15[[#This Row],[ρ_{v} (kg/m^{3} )4]])*100</f>
        <v>1.0236689595407034</v>
      </c>
      <c r="N9">
        <f>ABS((Table011__Page_15[[#This Row],[P(bar)5]]-Table011__Page_15[[#This Row],[P(bar)]])/Table011__Page_15[[#This Row],[P(bar)5]])*100</f>
        <v>0.62471078204534902</v>
      </c>
      <c r="O9">
        <f>ABS((Table011__Page_15[[#This Row],[∆H_{v} '[kJ/kg']6]]-Table011__Page_15[[#This Row],[∆H_{v} '[kJ/kg']]])/Table011__Page_15[[#This Row],[∆H_{v} '[kJ/kg']6]])*100</f>
        <v>1.1575330077771746</v>
      </c>
    </row>
    <row r="10" spans="1:15" x14ac:dyDescent="0.2">
      <c r="A10">
        <v>150</v>
      </c>
      <c r="B10">
        <v>1579.068</v>
      </c>
      <c r="C10">
        <v>10.292</v>
      </c>
      <c r="D10">
        <v>1.397</v>
      </c>
      <c r="E10">
        <v>11.725</v>
      </c>
      <c r="F10">
        <f>Table011__Page_15[[#This Row],[∆H_{v} '[kJ/mol']]]*$A$18</f>
        <v>133.23212615747184</v>
      </c>
      <c r="G10" s="4">
        <v>150</v>
      </c>
      <c r="H10" s="8">
        <f>'r14_exp_data'!C9</f>
        <v>1576.8</v>
      </c>
      <c r="I10" s="8">
        <f>'r14_exp_data'!O9</f>
        <v>10.432</v>
      </c>
      <c r="J10" s="8">
        <f>'r14_exp_data'!B9</f>
        <v>1.4119999999999999</v>
      </c>
      <c r="K10">
        <f>'r14_exp_data'!Z9*'r14'!$A$18</f>
        <v>131.7208363682229</v>
      </c>
      <c r="L10">
        <f>ABS((Table011__Page_15[[#This Row],[ρ_{l} (kg/m^{3} )3]]-Table011__Page_15[[#This Row],[ρ_{l} (kg/m^{3} )]])/Table011__Page_15[[#This Row],[ρ_{l} (kg/m^{3} )3]])*100</f>
        <v>0.14383561643835802</v>
      </c>
      <c r="M10">
        <f>ABS((Table011__Page_15[[#This Row],[ρ_{v} (kg/m^{3} )4]]-Table011__Page_15[[#This Row],[ρ_{v} (kg/m^{3} )]])/Table011__Page_15[[#This Row],[ρ_{v} (kg/m^{3} )4]])*100</f>
        <v>1.3420245398773061</v>
      </c>
      <c r="N10">
        <f>ABS((Table011__Page_15[[#This Row],[P(bar)5]]-Table011__Page_15[[#This Row],[P(bar)]])/Table011__Page_15[[#This Row],[P(bar)5]])*100</f>
        <v>1.0623229461756305</v>
      </c>
      <c r="O10">
        <f>ABS((Table011__Page_15[[#This Row],[∆H_{v} '[kJ/kg']6]]-Table011__Page_15[[#This Row],[∆H_{v} '[kJ/kg']]])/Table011__Page_15[[#This Row],[∆H_{v} '[kJ/kg']6]])*100</f>
        <v>1.1473429951690821</v>
      </c>
    </row>
    <row r="11" spans="1:15" x14ac:dyDescent="0.2">
      <c r="A11">
        <v>140</v>
      </c>
      <c r="B11">
        <v>1640.0530000000001</v>
      </c>
      <c r="C11">
        <v>5.2969999999999997</v>
      </c>
      <c r="D11">
        <v>0.68400000000000005</v>
      </c>
      <c r="E11">
        <v>12.287000000000001</v>
      </c>
      <c r="F11">
        <f>Table011__Page_15[[#This Row],[∆H_{v} '[kJ/mol']]]*$A$18</f>
        <v>139.61817774813275</v>
      </c>
      <c r="G11" s="7">
        <v>140</v>
      </c>
      <c r="H11" s="8">
        <f>'r14_exp_data'!C10</f>
        <v>1630.2</v>
      </c>
      <c r="I11" s="8">
        <f>'r14_exp_data'!O10</f>
        <v>5.4120999999999997</v>
      </c>
      <c r="J11" s="8">
        <f>'r14_exp_data'!B10</f>
        <v>0.69706999999999997</v>
      </c>
      <c r="K11">
        <f>'r14_exp_data'!Z10*'r14'!$A$18</f>
        <v>137.11829990125483</v>
      </c>
      <c r="L11">
        <f>ABS((Table011__Page_15[[#This Row],[ρ_{l} (kg/m^{3} )3]]-Table011__Page_15[[#This Row],[ρ_{l} (kg/m^{3} )]])/Table011__Page_15[[#This Row],[ρ_{l} (kg/m^{3} )3]])*100</f>
        <v>0.60440436756226623</v>
      </c>
      <c r="M11">
        <f>ABS((Table011__Page_15[[#This Row],[ρ_{v} (kg/m^{3} )4]]-Table011__Page_15[[#This Row],[ρ_{v} (kg/m^{3} )]])/Table011__Page_15[[#This Row],[ρ_{v} (kg/m^{3} )4]])*100</f>
        <v>2.1267160621570182</v>
      </c>
      <c r="N11">
        <f>ABS((Table011__Page_15[[#This Row],[P(bar)5]]-Table011__Page_15[[#This Row],[P(bar)]])/Table011__Page_15[[#This Row],[P(bar)5]])*100</f>
        <v>1.8749910338990223</v>
      </c>
      <c r="O11">
        <f>ABS((Table011__Page_15[[#This Row],[∆H_{v} '[kJ/kg']6]]-Table011__Page_15[[#This Row],[∆H_{v} '[kJ/kg']]])/Table011__Page_15[[#This Row],[∆H_{v} '[kJ/kg']6]])*100</f>
        <v>1.8231540565177653</v>
      </c>
    </row>
    <row r="12" spans="1:15" x14ac:dyDescent="0.2">
      <c r="A12" t="s">
        <v>5</v>
      </c>
      <c r="G12" t="s">
        <v>6</v>
      </c>
      <c r="I12" s="8"/>
    </row>
    <row r="13" spans="1:15" x14ac:dyDescent="0.2">
      <c r="K13" s="11" t="s">
        <v>7</v>
      </c>
      <c r="L13" s="11">
        <f>AVERAGE(L3:L12)</f>
        <v>0.37698189989661685</v>
      </c>
      <c r="M13" s="11">
        <f t="shared" ref="M13:O13" si="0">AVERAGE(M3:M12)</f>
        <v>1.8730772191359009</v>
      </c>
      <c r="N13" s="11">
        <f t="shared" si="0"/>
        <v>0.48123239296187909</v>
      </c>
      <c r="O13" s="11">
        <f t="shared" si="0"/>
        <v>1.9918585971574518</v>
      </c>
    </row>
    <row r="15" spans="1:15" x14ac:dyDescent="0.2">
      <c r="A15" t="s">
        <v>14</v>
      </c>
      <c r="L15" s="6"/>
    </row>
    <row r="16" spans="1:15" x14ac:dyDescent="0.2">
      <c r="A16">
        <v>88.004300000000001</v>
      </c>
      <c r="B16" t="s">
        <v>18</v>
      </c>
      <c r="L16" s="9"/>
    </row>
    <row r="17" spans="1:12" x14ac:dyDescent="0.2">
      <c r="A17">
        <f>A16/1000</f>
        <v>8.8004300000000008E-2</v>
      </c>
      <c r="B17" t="s">
        <v>19</v>
      </c>
      <c r="L17" s="6"/>
    </row>
    <row r="18" spans="1:12" x14ac:dyDescent="0.2">
      <c r="A18" s="11">
        <f>1/A17</f>
        <v>11.363081122172439</v>
      </c>
      <c r="B18" s="11" t="s">
        <v>16</v>
      </c>
      <c r="L18" s="9"/>
    </row>
    <row r="19" spans="1:12" x14ac:dyDescent="0.2">
      <c r="L19" s="6"/>
    </row>
    <row r="20" spans="1:12" x14ac:dyDescent="0.2">
      <c r="L20" s="9"/>
    </row>
    <row r="21" spans="1:12" x14ac:dyDescent="0.2">
      <c r="L21" s="6"/>
    </row>
    <row r="22" spans="1:12" x14ac:dyDescent="0.2">
      <c r="L22" s="9"/>
    </row>
    <row r="23" spans="1:12" x14ac:dyDescent="0.2">
      <c r="L23" s="6"/>
    </row>
    <row r="24" spans="1:12" x14ac:dyDescent="0.2">
      <c r="L24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B57DC-A932-47EE-8D27-54ED21775A8F}">
  <dimension ref="A1:Z10"/>
  <sheetViews>
    <sheetView topLeftCell="I1" workbookViewId="0">
      <selection activeCell="Z2" sqref="Z2"/>
    </sheetView>
  </sheetViews>
  <sheetFormatPr baseColWidth="10" defaultColWidth="8.83203125" defaultRowHeight="15" x14ac:dyDescent="0.2"/>
  <cols>
    <col min="1" max="1" width="17" bestFit="1" customWidth="1"/>
    <col min="2" max="2" width="14.83203125" bestFit="1" customWidth="1"/>
    <col min="3" max="3" width="18" bestFit="1" customWidth="1"/>
    <col min="4" max="4" width="18.1640625" bestFit="1" customWidth="1"/>
    <col min="5" max="5" width="24.83203125" bestFit="1" customWidth="1"/>
    <col min="6" max="6" width="19.5" bestFit="1" customWidth="1"/>
    <col min="7" max="7" width="19.83203125" bestFit="1" customWidth="1"/>
    <col min="8" max="8" width="15" bestFit="1" customWidth="1"/>
    <col min="9" max="9" width="15.33203125" bestFit="1" customWidth="1"/>
    <col min="10" max="10" width="19" bestFit="1" customWidth="1"/>
    <col min="11" max="11" width="24" bestFit="1" customWidth="1"/>
    <col min="12" max="12" width="18.6640625" bestFit="1" customWidth="1"/>
    <col min="13" max="13" width="24.33203125" bestFit="1" customWidth="1"/>
    <col min="14" max="14" width="21.1640625" bestFit="1" customWidth="1"/>
    <col min="15" max="15" width="18.5" bestFit="1" customWidth="1"/>
    <col min="16" max="16" width="18.6640625" bestFit="1" customWidth="1"/>
    <col min="17" max="17" width="25.33203125" bestFit="1" customWidth="1"/>
    <col min="18" max="18" width="19.83203125" bestFit="1" customWidth="1"/>
    <col min="19" max="19" width="20.33203125" bestFit="1" customWidth="1"/>
    <col min="20" max="20" width="15.5" bestFit="1" customWidth="1"/>
    <col min="21" max="21" width="15.6640625" bestFit="1" customWidth="1"/>
    <col min="22" max="22" width="19.5" bestFit="1" customWidth="1"/>
    <col min="23" max="23" width="24.5" bestFit="1" customWidth="1"/>
    <col min="24" max="24" width="19.1640625" bestFit="1" customWidth="1"/>
    <col min="25" max="25" width="24.6640625" bestFit="1" customWidth="1"/>
    <col min="26" max="26" width="13.6640625" bestFit="1" customWidth="1"/>
  </cols>
  <sheetData>
    <row r="1" spans="1:26" x14ac:dyDescent="0.2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55</v>
      </c>
    </row>
    <row r="2" spans="1:26" x14ac:dyDescent="0.2">
      <c r="A2">
        <v>220</v>
      </c>
      <c r="B2">
        <v>30.021000000000001</v>
      </c>
      <c r="C2">
        <v>998.47</v>
      </c>
      <c r="D2">
        <v>1.0015E-3</v>
      </c>
      <c r="E2">
        <v>25.751000000000001</v>
      </c>
      <c r="F2">
        <v>26.015999999999998</v>
      </c>
      <c r="G2">
        <v>78.488</v>
      </c>
      <c r="H2">
        <v>54.712000000000003</v>
      </c>
      <c r="I2">
        <v>207.86</v>
      </c>
      <c r="J2">
        <v>190.63</v>
      </c>
      <c r="K2">
        <v>0.22586000000000001</v>
      </c>
      <c r="L2">
        <v>63.811</v>
      </c>
      <c r="M2">
        <v>4.4500999999999999E-2</v>
      </c>
      <c r="N2">
        <v>6.1582E-4</v>
      </c>
      <c r="O2">
        <v>272.43</v>
      </c>
      <c r="P2">
        <v>3.6706999999999998E-3</v>
      </c>
      <c r="Q2">
        <v>29.815000000000001</v>
      </c>
      <c r="R2">
        <v>30.785</v>
      </c>
      <c r="S2">
        <v>100.17</v>
      </c>
      <c r="T2">
        <v>53.322000000000003</v>
      </c>
      <c r="U2">
        <v>203.22</v>
      </c>
      <c r="V2">
        <v>111.42</v>
      </c>
      <c r="W2">
        <v>1.5459000000000001</v>
      </c>
      <c r="X2">
        <v>18.324000000000002</v>
      </c>
      <c r="Y2">
        <v>2.2461999999999999E-2</v>
      </c>
      <c r="Z2">
        <f>_r14_exp_data[[#This Row],[Enthalpy (v, kJ/mol)]]-_r14_exp_data[[#This Row],[Enthalpy (l, kJ/mol)]]</f>
        <v>4.7690000000000019</v>
      </c>
    </row>
    <row r="3" spans="1:26" x14ac:dyDescent="0.2">
      <c r="A3">
        <v>210</v>
      </c>
      <c r="B3">
        <v>21.864000000000001</v>
      </c>
      <c r="C3">
        <v>1142.5</v>
      </c>
      <c r="D3">
        <v>8.7529999999999997E-4</v>
      </c>
      <c r="E3">
        <v>24.452999999999999</v>
      </c>
      <c r="F3">
        <v>24.622</v>
      </c>
      <c r="G3">
        <v>72.322000000000003</v>
      </c>
      <c r="H3">
        <v>51.661999999999999</v>
      </c>
      <c r="I3">
        <v>132.08000000000001</v>
      </c>
      <c r="J3">
        <v>272.56</v>
      </c>
      <c r="K3">
        <v>9.1550000000000006E-2</v>
      </c>
      <c r="L3">
        <v>81.623999999999995</v>
      </c>
      <c r="M3">
        <v>4.9624000000000001E-2</v>
      </c>
      <c r="N3">
        <v>1.7593000000000001E-3</v>
      </c>
      <c r="O3">
        <v>169.76</v>
      </c>
      <c r="P3">
        <v>5.8904999999999999E-3</v>
      </c>
      <c r="Q3">
        <v>30.143999999999998</v>
      </c>
      <c r="R3">
        <v>31.277999999999999</v>
      </c>
      <c r="S3">
        <v>104.02</v>
      </c>
      <c r="T3">
        <v>47.774000000000001</v>
      </c>
      <c r="U3">
        <v>102.03</v>
      </c>
      <c r="V3">
        <v>118.82</v>
      </c>
      <c r="W3">
        <v>1.7403999999999999</v>
      </c>
      <c r="X3">
        <v>15.404</v>
      </c>
      <c r="Y3">
        <v>1.5772000000000001E-2</v>
      </c>
      <c r="Z3">
        <f>_r14_exp_data[[#This Row],[Enthalpy (v, kJ/mol)]]-_r14_exp_data[[#This Row],[Enthalpy (l, kJ/mol)]]</f>
        <v>6.6559999999999988</v>
      </c>
    </row>
    <row r="4" spans="1:26" x14ac:dyDescent="0.2">
      <c r="A4">
        <v>200</v>
      </c>
      <c r="B4">
        <v>15.523</v>
      </c>
      <c r="C4">
        <v>1243.0999999999999</v>
      </c>
      <c r="D4">
        <v>8.0440999999999998E-4</v>
      </c>
      <c r="E4">
        <v>23.363</v>
      </c>
      <c r="F4">
        <v>23.472999999999999</v>
      </c>
      <c r="G4">
        <v>66.945999999999998</v>
      </c>
      <c r="H4">
        <v>49.781999999999996</v>
      </c>
      <c r="I4">
        <v>110.53</v>
      </c>
      <c r="J4">
        <v>344.5</v>
      </c>
      <c r="K4">
        <v>3.8877000000000002E-2</v>
      </c>
      <c r="L4">
        <v>97.789000000000001</v>
      </c>
      <c r="M4">
        <v>5.6174000000000002E-2</v>
      </c>
      <c r="N4">
        <v>3.0804999999999999E-3</v>
      </c>
      <c r="O4">
        <v>112.09</v>
      </c>
      <c r="P4">
        <v>8.9212000000000007E-3</v>
      </c>
      <c r="Q4">
        <v>30.189</v>
      </c>
      <c r="R4">
        <v>31.408000000000001</v>
      </c>
      <c r="S4">
        <v>106.62</v>
      </c>
      <c r="T4">
        <v>43.908000000000001</v>
      </c>
      <c r="U4">
        <v>74.855000000000004</v>
      </c>
      <c r="V4">
        <v>124.21</v>
      </c>
      <c r="W4">
        <v>1.8749</v>
      </c>
      <c r="X4">
        <v>13.723000000000001</v>
      </c>
      <c r="Y4">
        <v>1.2326999999999999E-2</v>
      </c>
      <c r="Z4">
        <f>_r14_exp_data[[#This Row],[Enthalpy (v, kJ/mol)]]-_r14_exp_data[[#This Row],[Enthalpy (l, kJ/mol)]]</f>
        <v>7.9350000000000023</v>
      </c>
    </row>
    <row r="5" spans="1:26" x14ac:dyDescent="0.2">
      <c r="A5">
        <v>190</v>
      </c>
      <c r="B5">
        <v>10.663</v>
      </c>
      <c r="C5">
        <v>1325.3</v>
      </c>
      <c r="D5">
        <v>7.5454999999999999E-4</v>
      </c>
      <c r="E5">
        <v>22.367999999999999</v>
      </c>
      <c r="F5">
        <v>22.437999999999999</v>
      </c>
      <c r="G5">
        <v>61.814999999999998</v>
      </c>
      <c r="H5">
        <v>48.35</v>
      </c>
      <c r="I5">
        <v>99.759</v>
      </c>
      <c r="J5">
        <v>411.57</v>
      </c>
      <c r="K5">
        <v>1.0829E-2</v>
      </c>
      <c r="L5">
        <v>114.54</v>
      </c>
      <c r="M5">
        <v>6.3133999999999996E-2</v>
      </c>
      <c r="N5">
        <v>4.5247999999999998E-3</v>
      </c>
      <c r="O5">
        <v>74.361000000000004</v>
      </c>
      <c r="P5">
        <v>1.3448E-2</v>
      </c>
      <c r="Q5">
        <v>30.109000000000002</v>
      </c>
      <c r="R5">
        <v>31.370999999999999</v>
      </c>
      <c r="S5">
        <v>108.83</v>
      </c>
      <c r="T5">
        <v>40.843000000000004</v>
      </c>
      <c r="U5">
        <v>61.908000000000001</v>
      </c>
      <c r="V5">
        <v>127.94</v>
      </c>
      <c r="W5">
        <v>2.0110999999999999</v>
      </c>
      <c r="X5">
        <v>12.486000000000001</v>
      </c>
      <c r="Y5">
        <v>1.0109E-2</v>
      </c>
      <c r="Z5">
        <f>_r14_exp_data[[#This Row],[Enthalpy (v, kJ/mol)]]-_r14_exp_data[[#This Row],[Enthalpy (l, kJ/mol)]]</f>
        <v>8.9329999999999998</v>
      </c>
    </row>
    <row r="6" spans="1:26" x14ac:dyDescent="0.2">
      <c r="A6">
        <v>180</v>
      </c>
      <c r="B6">
        <v>7.0294999999999996</v>
      </c>
      <c r="C6">
        <v>1396.7</v>
      </c>
      <c r="D6">
        <v>7.1595000000000003E-4</v>
      </c>
      <c r="E6">
        <v>21.433</v>
      </c>
      <c r="F6">
        <v>21.477</v>
      </c>
      <c r="G6">
        <v>56.747</v>
      </c>
      <c r="H6">
        <v>47.1</v>
      </c>
      <c r="I6">
        <v>93.042000000000002</v>
      </c>
      <c r="J6">
        <v>476.19</v>
      </c>
      <c r="K6">
        <v>-6.4498000000000003E-3</v>
      </c>
      <c r="L6">
        <v>133.11000000000001</v>
      </c>
      <c r="M6">
        <v>7.0250000000000007E-2</v>
      </c>
      <c r="N6">
        <v>6.0656E-3</v>
      </c>
      <c r="O6">
        <v>48.509</v>
      </c>
      <c r="P6">
        <v>2.0615000000000001E-2</v>
      </c>
      <c r="Q6">
        <v>29.956</v>
      </c>
      <c r="R6">
        <v>31.231000000000002</v>
      </c>
      <c r="S6">
        <v>110.94</v>
      </c>
      <c r="T6">
        <v>38.276000000000003</v>
      </c>
      <c r="U6">
        <v>54.167000000000002</v>
      </c>
      <c r="V6">
        <v>130.22</v>
      </c>
      <c r="W6">
        <v>2.1669999999999998</v>
      </c>
      <c r="X6">
        <v>11.473000000000001</v>
      </c>
      <c r="Y6">
        <v>8.5518E-3</v>
      </c>
      <c r="Z6">
        <f>_r14_exp_data[[#This Row],[Enthalpy (v, kJ/mol)]]-_r14_exp_data[[#This Row],[Enthalpy (l, kJ/mol)]]</f>
        <v>9.7540000000000013</v>
      </c>
    </row>
    <row r="7" spans="1:26" x14ac:dyDescent="0.2">
      <c r="A7">
        <v>170</v>
      </c>
      <c r="B7">
        <v>4.4054000000000002</v>
      </c>
      <c r="C7">
        <v>1461.2</v>
      </c>
      <c r="D7">
        <v>6.8437000000000001E-4</v>
      </c>
      <c r="E7">
        <v>20.542999999999999</v>
      </c>
      <c r="F7">
        <v>20.568999999999999</v>
      </c>
      <c r="G7">
        <v>51.649000000000001</v>
      </c>
      <c r="H7">
        <v>45.868000000000002</v>
      </c>
      <c r="I7">
        <v>88.257000000000005</v>
      </c>
      <c r="J7">
        <v>539.97</v>
      </c>
      <c r="K7">
        <v>-1.8078E-2</v>
      </c>
      <c r="L7">
        <v>154.68</v>
      </c>
      <c r="M7">
        <v>7.7453999999999995E-2</v>
      </c>
      <c r="N7">
        <v>7.6867000000000003E-3</v>
      </c>
      <c r="O7">
        <v>30.640999999999998</v>
      </c>
      <c r="P7">
        <v>3.2635999999999998E-2</v>
      </c>
      <c r="Q7">
        <v>29.756</v>
      </c>
      <c r="R7">
        <v>31.021999999999998</v>
      </c>
      <c r="S7">
        <v>113.13</v>
      </c>
      <c r="T7">
        <v>36.064</v>
      </c>
      <c r="U7">
        <v>48.945</v>
      </c>
      <c r="V7">
        <v>131.18</v>
      </c>
      <c r="W7">
        <v>2.3519999999999999</v>
      </c>
      <c r="X7">
        <v>10.592000000000001</v>
      </c>
      <c r="Y7">
        <v>7.3920000000000001E-3</v>
      </c>
      <c r="Z7">
        <f>_r14_exp_data[[#This Row],[Enthalpy (v, kJ/mol)]]-_r14_exp_data[[#This Row],[Enthalpy (l, kJ/mol)]]</f>
        <v>10.452999999999999</v>
      </c>
    </row>
    <row r="8" spans="1:26" x14ac:dyDescent="0.2">
      <c r="A8">
        <v>160</v>
      </c>
      <c r="B8">
        <v>2.5931999999999999</v>
      </c>
      <c r="C8">
        <v>1520.8</v>
      </c>
      <c r="D8">
        <v>6.5755999999999996E-4</v>
      </c>
      <c r="E8">
        <v>19.687999999999999</v>
      </c>
      <c r="F8">
        <v>19.702999999999999</v>
      </c>
      <c r="G8">
        <v>46.462000000000003</v>
      </c>
      <c r="H8">
        <v>44.533000000000001</v>
      </c>
      <c r="I8">
        <v>84.468000000000004</v>
      </c>
      <c r="J8">
        <v>604.17999999999995</v>
      </c>
      <c r="K8">
        <v>-2.6431E-2</v>
      </c>
      <c r="L8">
        <v>180.85</v>
      </c>
      <c r="M8">
        <v>8.473E-2</v>
      </c>
      <c r="N8">
        <v>9.3772999999999999E-3</v>
      </c>
      <c r="O8">
        <v>18.463000000000001</v>
      </c>
      <c r="P8">
        <v>5.4163000000000003E-2</v>
      </c>
      <c r="Q8">
        <v>29.524999999999999</v>
      </c>
      <c r="R8">
        <v>30.760999999999999</v>
      </c>
      <c r="S8">
        <v>115.58</v>
      </c>
      <c r="T8">
        <v>34.131999999999998</v>
      </c>
      <c r="U8">
        <v>45.162999999999997</v>
      </c>
      <c r="V8">
        <v>130.96</v>
      </c>
      <c r="W8">
        <v>2.5741000000000001</v>
      </c>
      <c r="X8">
        <v>9.7985000000000007</v>
      </c>
      <c r="Y8">
        <v>6.4849E-3</v>
      </c>
      <c r="Z8">
        <f>_r14_exp_data[[#This Row],[Enthalpy (v, kJ/mol)]]-_r14_exp_data[[#This Row],[Enthalpy (l, kJ/mol)]]</f>
        <v>11.058</v>
      </c>
    </row>
    <row r="9" spans="1:26" x14ac:dyDescent="0.2">
      <c r="A9">
        <v>150</v>
      </c>
      <c r="B9">
        <v>1.4119999999999999</v>
      </c>
      <c r="C9">
        <v>1576.8</v>
      </c>
      <c r="D9">
        <v>6.3420000000000002E-4</v>
      </c>
      <c r="E9">
        <v>18.864000000000001</v>
      </c>
      <c r="F9">
        <v>18.872</v>
      </c>
      <c r="G9">
        <v>41.143999999999998</v>
      </c>
      <c r="H9">
        <v>43.034999999999997</v>
      </c>
      <c r="I9">
        <v>81.177000000000007</v>
      </c>
      <c r="J9">
        <v>669.7</v>
      </c>
      <c r="K9">
        <v>-3.2802999999999999E-2</v>
      </c>
      <c r="L9">
        <v>213.88</v>
      </c>
      <c r="M9">
        <v>9.2080999999999996E-2</v>
      </c>
      <c r="N9">
        <v>1.1129E-2</v>
      </c>
      <c r="O9">
        <v>10.432</v>
      </c>
      <c r="P9">
        <v>9.5859E-2</v>
      </c>
      <c r="Q9">
        <v>29.273</v>
      </c>
      <c r="R9">
        <v>30.463999999999999</v>
      </c>
      <c r="S9">
        <v>118.42</v>
      </c>
      <c r="T9">
        <v>32.433</v>
      </c>
      <c r="U9">
        <v>42.304000000000002</v>
      </c>
      <c r="V9">
        <v>129.66</v>
      </c>
      <c r="W9">
        <v>2.8422999999999998</v>
      </c>
      <c r="X9">
        <v>9.0652000000000008</v>
      </c>
      <c r="Y9">
        <v>5.7444000000000002E-3</v>
      </c>
      <c r="Z9">
        <f>_r14_exp_data[[#This Row],[Enthalpy (v, kJ/mol)]]-_r14_exp_data[[#This Row],[Enthalpy (l, kJ/mol)]]</f>
        <v>11.591999999999999</v>
      </c>
    </row>
    <row r="10" spans="1:26" x14ac:dyDescent="0.2">
      <c r="A10">
        <v>140</v>
      </c>
      <c r="B10">
        <v>0.69706999999999997</v>
      </c>
      <c r="C10">
        <v>1630.2</v>
      </c>
      <c r="D10">
        <v>6.1344000000000004E-4</v>
      </c>
      <c r="E10">
        <v>18.068999999999999</v>
      </c>
      <c r="F10">
        <v>18.073</v>
      </c>
      <c r="G10">
        <v>35.662999999999997</v>
      </c>
      <c r="H10">
        <v>41.478000000000002</v>
      </c>
      <c r="I10">
        <v>78.177999999999997</v>
      </c>
      <c r="J10">
        <v>736.34</v>
      </c>
      <c r="K10">
        <v>-3.7946000000000001E-2</v>
      </c>
      <c r="L10">
        <v>257.33999999999997</v>
      </c>
      <c r="M10">
        <v>9.9506999999999998E-2</v>
      </c>
      <c r="N10">
        <v>1.2936E-2</v>
      </c>
      <c r="O10">
        <v>5.4120999999999997</v>
      </c>
      <c r="P10">
        <v>0.18476999999999999</v>
      </c>
      <c r="Q10">
        <v>29.007000000000001</v>
      </c>
      <c r="R10">
        <v>30.14</v>
      </c>
      <c r="S10">
        <v>121.85</v>
      </c>
      <c r="T10">
        <v>30.93</v>
      </c>
      <c r="U10">
        <v>40.084000000000003</v>
      </c>
      <c r="V10">
        <v>127.42</v>
      </c>
      <c r="W10">
        <v>3.1674000000000002</v>
      </c>
      <c r="X10">
        <v>8.3757999999999999</v>
      </c>
      <c r="Y10">
        <v>5.117E-3</v>
      </c>
      <c r="Z10">
        <f>_r14_exp_data[[#This Row],[Enthalpy (v, kJ/mol)]]-_r14_exp_data[[#This Row],[Enthalpy (l, kJ/mol)]]</f>
        <v>12.067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51411-6A0D-4EB2-8182-74CB4D8B19B0}">
  <dimension ref="A1:T25"/>
  <sheetViews>
    <sheetView workbookViewId="0">
      <selection activeCell="A25" sqref="A25"/>
    </sheetView>
  </sheetViews>
  <sheetFormatPr baseColWidth="10" defaultColWidth="8.83203125" defaultRowHeight="15" x14ac:dyDescent="0.2"/>
  <cols>
    <col min="2" max="2" width="13.83203125" customWidth="1"/>
    <col min="3" max="4" width="12.1640625" customWidth="1"/>
    <col min="7" max="7" width="15.5" bestFit="1" customWidth="1"/>
    <col min="8" max="8" width="15" bestFit="1" customWidth="1"/>
    <col min="9" max="9" width="11.83203125" bestFit="1" customWidth="1"/>
    <col min="10" max="10" width="16.6640625" bestFit="1" customWidth="1"/>
    <col min="11" max="11" width="21.83203125" customWidth="1"/>
    <col min="13" max="13" width="11.83203125" bestFit="1" customWidth="1"/>
    <col min="16" max="16" width="16" customWidth="1"/>
    <col min="17" max="17" width="11.83203125" bestFit="1" customWidth="1"/>
    <col min="18" max="18" width="9.83203125" bestFit="1" customWidth="1"/>
    <col min="19" max="19" width="6.33203125" bestFit="1" customWidth="1"/>
    <col min="20" max="20" width="9.1640625" bestFit="1" customWidth="1"/>
  </cols>
  <sheetData>
    <row r="1" spans="1:20" ht="40" x14ac:dyDescent="0.2">
      <c r="A1" s="15" t="s">
        <v>61</v>
      </c>
      <c r="B1" s="16" t="s">
        <v>63</v>
      </c>
      <c r="C1" s="16" t="s">
        <v>62</v>
      </c>
      <c r="D1" s="15" t="s">
        <v>64</v>
      </c>
      <c r="F1" s="15" t="s">
        <v>61</v>
      </c>
      <c r="G1" s="16" t="s">
        <v>69</v>
      </c>
      <c r="H1" s="16" t="s">
        <v>68</v>
      </c>
      <c r="I1" s="15" t="s">
        <v>70</v>
      </c>
      <c r="J1" s="16" t="s">
        <v>79</v>
      </c>
      <c r="K1" s="16" t="s">
        <v>71</v>
      </c>
      <c r="L1" s="15" t="s">
        <v>61</v>
      </c>
      <c r="M1" s="16" t="s">
        <v>69</v>
      </c>
      <c r="N1" s="16" t="s">
        <v>68</v>
      </c>
      <c r="O1" s="15" t="s">
        <v>70</v>
      </c>
      <c r="P1" s="16" t="s">
        <v>71</v>
      </c>
      <c r="Q1" t="s">
        <v>10</v>
      </c>
      <c r="R1" t="s">
        <v>11</v>
      </c>
      <c r="S1" t="s">
        <v>12</v>
      </c>
      <c r="T1" t="s">
        <v>13</v>
      </c>
    </row>
    <row r="2" spans="1:20" x14ac:dyDescent="0.2">
      <c r="A2" s="17">
        <v>105</v>
      </c>
      <c r="B2" s="17">
        <v>0.43753999999999998</v>
      </c>
      <c r="C2" s="17">
        <v>1.243E-3</v>
      </c>
      <c r="D2" s="17">
        <v>66</v>
      </c>
      <c r="F2" s="17">
        <v>105</v>
      </c>
      <c r="G2" s="17">
        <f t="shared" ref="G2:H7" si="0">B2*$A$13</f>
        <v>437.53999999999996</v>
      </c>
      <c r="H2" s="17">
        <f t="shared" si="0"/>
        <v>1.2429999999999999</v>
      </c>
      <c r="I2" s="17">
        <f t="shared" ref="I2:I7" si="1">D2/$A$12</f>
        <v>0.66</v>
      </c>
      <c r="J2">
        <f t="shared" ref="J2:J7" si="2">(1/H2)-(1/G2)</f>
        <v>0.80221972395876295</v>
      </c>
      <c r="K2" s="22">
        <f>(-5.0605*10^-4*F2^2 + 8.8979*10^-2*F2 + 4.5301)*$A$18</f>
        <v>517.06320137157104</v>
      </c>
      <c r="L2" s="17">
        <v>105</v>
      </c>
      <c r="M2" s="17">
        <v>431.92</v>
      </c>
      <c r="N2" s="17">
        <v>1.0612999999999999</v>
      </c>
      <c r="O2" s="17">
        <v>0.56376999999999999</v>
      </c>
      <c r="P2" s="22">
        <f>Q9-P9</f>
        <v>522.43399999999997</v>
      </c>
      <c r="Q2">
        <f>ABS((M2-G2)/M2)*100</f>
        <v>1.3011668827560539</v>
      </c>
      <c r="R2">
        <f>ABS((N2-H2)/N2)*100</f>
        <v>17.120512578912653</v>
      </c>
      <c r="S2">
        <f>ABS((O2-I2)/O2)*100</f>
        <v>17.069017507139446</v>
      </c>
      <c r="T2">
        <f>ABS((P2-K2)/P2)*100</f>
        <v>1.0280339006322194</v>
      </c>
    </row>
    <row r="3" spans="1:20" x14ac:dyDescent="0.2">
      <c r="A3" s="17">
        <v>120</v>
      </c>
      <c r="B3" s="17">
        <v>0.41425000000000001</v>
      </c>
      <c r="C3" s="17">
        <v>3.5100000000000001E-3</v>
      </c>
      <c r="D3" s="17">
        <v>206</v>
      </c>
      <c r="F3" s="17">
        <v>120</v>
      </c>
      <c r="G3" s="17">
        <f t="shared" si="0"/>
        <v>414.25</v>
      </c>
      <c r="H3" s="17">
        <f t="shared" si="0"/>
        <v>3.5100000000000002</v>
      </c>
      <c r="I3" s="17">
        <f t="shared" si="1"/>
        <v>2.06</v>
      </c>
      <c r="J3">
        <f t="shared" si="2"/>
        <v>0.28248628369328432</v>
      </c>
      <c r="K3" s="22">
        <f t="shared" ref="K3:K7" si="3">(-5.0605*10^-4*F3^2 + 8.8979*10^-2*F3 + 4.5301)*$A$18</f>
        <v>493.79426433915222</v>
      </c>
      <c r="L3" s="17">
        <v>120</v>
      </c>
      <c r="M3" s="17">
        <v>409.9</v>
      </c>
      <c r="N3" s="17">
        <v>3.2618999999999998</v>
      </c>
      <c r="O3" s="17">
        <v>1.9142999999999999</v>
      </c>
      <c r="P3" s="22">
        <f>Q10-P10</f>
        <v>494.61500000000001</v>
      </c>
      <c r="Q3">
        <f t="shared" ref="Q3:Q7" si="4">ABS((M3-G3)/M3)*100</f>
        <v>1.0612344474262072</v>
      </c>
      <c r="R3">
        <f t="shared" ref="R3:R7" si="5">ABS((N3-H3)/N3)*100</f>
        <v>7.6059965051044012</v>
      </c>
      <c r="S3">
        <f t="shared" ref="S3:S7" si="6">ABS((O3-I3)/O3)*100</f>
        <v>7.6111372303191853</v>
      </c>
      <c r="T3">
        <f t="shared" ref="T3:T7" si="7">ABS((P3-K3)/P3)*100</f>
        <v>0.16593424397719198</v>
      </c>
    </row>
    <row r="4" spans="1:20" x14ac:dyDescent="0.2">
      <c r="A4" s="17">
        <v>135</v>
      </c>
      <c r="B4" s="17">
        <v>0.3881</v>
      </c>
      <c r="C4" s="17">
        <v>7.92E-3</v>
      </c>
      <c r="D4" s="17">
        <v>501</v>
      </c>
      <c r="F4" s="17">
        <v>135</v>
      </c>
      <c r="G4" s="17">
        <f t="shared" si="0"/>
        <v>388.1</v>
      </c>
      <c r="H4" s="17">
        <f t="shared" si="0"/>
        <v>7.92</v>
      </c>
      <c r="I4" s="17">
        <f t="shared" si="1"/>
        <v>5.01</v>
      </c>
      <c r="J4">
        <f t="shared" si="2"/>
        <v>0.12368597076146677</v>
      </c>
      <c r="K4" s="22">
        <f t="shared" si="3"/>
        <v>456.32816396508724</v>
      </c>
      <c r="L4" s="17">
        <v>135</v>
      </c>
      <c r="M4" s="17">
        <v>385.64</v>
      </c>
      <c r="N4" s="17">
        <v>7.8548999999999998</v>
      </c>
      <c r="O4" s="17">
        <v>4.9035000000000002</v>
      </c>
      <c r="P4" s="22">
        <f t="shared" ref="P4:P7" si="8">Q11-P11</f>
        <v>459.19999999999993</v>
      </c>
      <c r="Q4">
        <f t="shared" si="4"/>
        <v>0.63790063271445818</v>
      </c>
      <c r="R4">
        <f t="shared" si="5"/>
        <v>0.82878203414429408</v>
      </c>
      <c r="S4">
        <f t="shared" si="6"/>
        <v>2.1719180177424207</v>
      </c>
      <c r="T4">
        <f t="shared" si="7"/>
        <v>0.62539983338690985</v>
      </c>
    </row>
    <row r="5" spans="1:20" x14ac:dyDescent="0.2">
      <c r="A5" s="17">
        <v>150</v>
      </c>
      <c r="B5" s="17">
        <v>0.36109999999999998</v>
      </c>
      <c r="C5" s="17">
        <v>1.8100000000000002E-2</v>
      </c>
      <c r="D5" s="17">
        <v>1161</v>
      </c>
      <c r="F5" s="17">
        <v>150</v>
      </c>
      <c r="G5" s="17">
        <f t="shared" si="0"/>
        <v>361.09999999999997</v>
      </c>
      <c r="H5" s="17">
        <f t="shared" si="0"/>
        <v>18.100000000000001</v>
      </c>
      <c r="I5" s="17">
        <f t="shared" si="1"/>
        <v>11.61</v>
      </c>
      <c r="J5">
        <f t="shared" si="2"/>
        <v>5.2479302805577187E-2</v>
      </c>
      <c r="K5" s="22">
        <f t="shared" si="3"/>
        <v>404.6649002493765</v>
      </c>
      <c r="L5" s="17">
        <v>150</v>
      </c>
      <c r="M5" s="17">
        <v>357.9</v>
      </c>
      <c r="N5" s="17">
        <v>16.327999999999999</v>
      </c>
      <c r="O5" s="17">
        <v>10.4</v>
      </c>
      <c r="P5" s="22">
        <f t="shared" si="8"/>
        <v>412.59000000000003</v>
      </c>
      <c r="Q5">
        <f t="shared" si="4"/>
        <v>0.89410449846325479</v>
      </c>
      <c r="R5">
        <f t="shared" si="5"/>
        <v>10.852523272905451</v>
      </c>
      <c r="S5">
        <f t="shared" si="6"/>
        <v>11.634615384615374</v>
      </c>
      <c r="T5">
        <f t="shared" si="7"/>
        <v>1.9208172157889261</v>
      </c>
    </row>
    <row r="6" spans="1:20" x14ac:dyDescent="0.2">
      <c r="A6" s="17">
        <v>165</v>
      </c>
      <c r="B6" s="17">
        <v>0.32319999999999999</v>
      </c>
      <c r="C6" s="17">
        <v>3.2099999999999997E-2</v>
      </c>
      <c r="D6" s="17">
        <v>2040</v>
      </c>
      <c r="F6" s="17">
        <v>165</v>
      </c>
      <c r="G6" s="17">
        <f t="shared" si="0"/>
        <v>323.2</v>
      </c>
      <c r="H6" s="17">
        <f t="shared" si="0"/>
        <v>32.099999999999994</v>
      </c>
      <c r="I6" s="17">
        <f t="shared" si="1"/>
        <v>20.399999999999999</v>
      </c>
      <c r="J6">
        <f t="shared" si="2"/>
        <v>2.8058588569137295E-2</v>
      </c>
      <c r="K6" s="22">
        <f t="shared" si="3"/>
        <v>338.80447319201988</v>
      </c>
      <c r="L6" s="17">
        <v>165</v>
      </c>
      <c r="M6" s="17">
        <v>324.10000000000002</v>
      </c>
      <c r="N6" s="17">
        <v>31.448</v>
      </c>
      <c r="O6" s="17">
        <v>19.350999999999999</v>
      </c>
      <c r="P6" s="22">
        <f t="shared" si="8"/>
        <v>348.12</v>
      </c>
      <c r="Q6">
        <f t="shared" si="4"/>
        <v>0.27769207034866833</v>
      </c>
      <c r="R6">
        <f t="shared" si="5"/>
        <v>2.0732638005596349</v>
      </c>
      <c r="S6">
        <f t="shared" si="6"/>
        <v>5.4209084801819003</v>
      </c>
      <c r="T6">
        <f t="shared" si="7"/>
        <v>2.6759527771975526</v>
      </c>
    </row>
    <row r="7" spans="1:20" x14ac:dyDescent="0.2">
      <c r="A7" s="17">
        <v>175</v>
      </c>
      <c r="B7" s="17">
        <v>0.29630000000000001</v>
      </c>
      <c r="C7" s="17">
        <v>4.82E-2</v>
      </c>
      <c r="D7" s="17">
        <v>2890</v>
      </c>
      <c r="F7" s="17">
        <v>175</v>
      </c>
      <c r="G7" s="17">
        <f t="shared" si="0"/>
        <v>296.3</v>
      </c>
      <c r="H7" s="17">
        <f t="shared" si="0"/>
        <v>48.2</v>
      </c>
      <c r="I7" s="17">
        <f t="shared" si="1"/>
        <v>28.9</v>
      </c>
      <c r="J7">
        <f t="shared" si="2"/>
        <v>1.7371930153777641E-2</v>
      </c>
      <c r="K7" s="22">
        <f t="shared" si="3"/>
        <v>287.01020885286766</v>
      </c>
      <c r="L7" s="17">
        <v>175</v>
      </c>
      <c r="M7" s="17">
        <v>294.94</v>
      </c>
      <c r="N7" s="17">
        <v>48.558999999999997</v>
      </c>
      <c r="O7" s="17">
        <v>27.765000000000001</v>
      </c>
      <c r="P7" s="22">
        <f t="shared" si="8"/>
        <v>287.43</v>
      </c>
      <c r="Q7">
        <f t="shared" si="4"/>
        <v>0.46111073438665956</v>
      </c>
      <c r="R7">
        <f t="shared" si="5"/>
        <v>0.73930682262813208</v>
      </c>
      <c r="S7">
        <f t="shared" si="6"/>
        <v>4.0878804249954905</v>
      </c>
      <c r="T7">
        <f t="shared" si="7"/>
        <v>0.14604987201487096</v>
      </c>
    </row>
    <row r="8" spans="1:20" x14ac:dyDescent="0.2">
      <c r="F8" t="s">
        <v>5</v>
      </c>
      <c r="K8" s="20"/>
      <c r="L8" t="s">
        <v>6</v>
      </c>
      <c r="P8" s="11" t="s">
        <v>7</v>
      </c>
      <c r="Q8" s="11">
        <f>AVERAGE(Q2:Q7)</f>
        <v>0.77220154434921706</v>
      </c>
      <c r="R8" s="11">
        <f t="shared" ref="R8:S8" si="9">AVERAGE(R2:R7)</f>
        <v>6.5367308357090934</v>
      </c>
      <c r="S8" s="11">
        <f t="shared" si="9"/>
        <v>7.9992461741656351</v>
      </c>
      <c r="T8" s="11">
        <f>AVERAGE(T2:T7)</f>
        <v>1.0936979738329453</v>
      </c>
    </row>
    <row r="9" spans="1:20" x14ac:dyDescent="0.2">
      <c r="P9">
        <v>-23.123999999999999</v>
      </c>
      <c r="Q9">
        <v>499.31</v>
      </c>
    </row>
    <row r="10" spans="1:20" x14ac:dyDescent="0.2">
      <c r="A10" t="s">
        <v>65</v>
      </c>
      <c r="J10" t="s">
        <v>78</v>
      </c>
      <c r="K10">
        <v>9.0999999999999998E-2</v>
      </c>
      <c r="P10">
        <v>29.405000000000001</v>
      </c>
      <c r="Q10">
        <v>524.02</v>
      </c>
    </row>
    <row r="11" spans="1:20" x14ac:dyDescent="0.2">
      <c r="F11" t="s">
        <v>75</v>
      </c>
      <c r="G11" t="s">
        <v>80</v>
      </c>
      <c r="P11">
        <v>84.22</v>
      </c>
      <c r="Q11">
        <v>543.41999999999996</v>
      </c>
    </row>
    <row r="12" spans="1:20" x14ac:dyDescent="0.2">
      <c r="A12">
        <v>100</v>
      </c>
      <c r="B12" t="s">
        <v>66</v>
      </c>
      <c r="F12">
        <f>F2</f>
        <v>105</v>
      </c>
      <c r="G12">
        <f t="shared" ref="G12:G17" si="10">LN(I2)</f>
        <v>-0.41551544396166579</v>
      </c>
      <c r="P12">
        <v>142.63999999999999</v>
      </c>
      <c r="Q12">
        <v>555.23</v>
      </c>
    </row>
    <row r="13" spans="1:20" x14ac:dyDescent="0.2">
      <c r="A13">
        <v>1000</v>
      </c>
      <c r="B13" t="s">
        <v>67</v>
      </c>
      <c r="F13">
        <f t="shared" ref="F13:F17" si="11">F3</f>
        <v>120</v>
      </c>
      <c r="G13">
        <f t="shared" si="10"/>
        <v>0.72270598280148979</v>
      </c>
      <c r="P13">
        <v>207.33</v>
      </c>
      <c r="Q13">
        <v>555.45000000000005</v>
      </c>
    </row>
    <row r="14" spans="1:20" x14ac:dyDescent="0.2">
      <c r="F14">
        <f t="shared" si="11"/>
        <v>135</v>
      </c>
      <c r="G14">
        <f t="shared" si="10"/>
        <v>1.6114359150967734</v>
      </c>
      <c r="P14">
        <v>257.08999999999997</v>
      </c>
      <c r="Q14">
        <v>544.52</v>
      </c>
    </row>
    <row r="15" spans="1:20" x14ac:dyDescent="0.2">
      <c r="F15">
        <f t="shared" si="11"/>
        <v>150</v>
      </c>
      <c r="G15">
        <f t="shared" si="10"/>
        <v>2.4518667957098002</v>
      </c>
    </row>
    <row r="16" spans="1:20" x14ac:dyDescent="0.2">
      <c r="A16" t="s">
        <v>22</v>
      </c>
      <c r="F16">
        <f t="shared" si="11"/>
        <v>165</v>
      </c>
      <c r="G16">
        <f t="shared" si="10"/>
        <v>3.0155349008501706</v>
      </c>
    </row>
    <row r="17" spans="1:17" x14ac:dyDescent="0.2">
      <c r="A17">
        <v>16.04</v>
      </c>
      <c r="B17" t="s">
        <v>18</v>
      </c>
      <c r="F17">
        <f t="shared" si="11"/>
        <v>175</v>
      </c>
      <c r="G17">
        <f t="shared" si="10"/>
        <v>3.3638415951183864</v>
      </c>
      <c r="P17">
        <v>104.694809313634</v>
      </c>
      <c r="Q17">
        <v>8.3439490445859903</v>
      </c>
    </row>
    <row r="18" spans="1:17" x14ac:dyDescent="0.2">
      <c r="A18">
        <f>1/(A17/1000)</f>
        <v>62.344139650872826</v>
      </c>
      <c r="B18" t="s">
        <v>16</v>
      </c>
      <c r="P18">
        <v>119.699137088035</v>
      </c>
      <c r="Q18">
        <v>7.8662420382165603</v>
      </c>
    </row>
    <row r="19" spans="1:17" x14ac:dyDescent="0.2">
      <c r="E19" t="s">
        <v>76</v>
      </c>
      <c r="P19">
        <v>134.696031662129</v>
      </c>
      <c r="Q19">
        <v>7.2929936305732497</v>
      </c>
    </row>
    <row r="20" spans="1:17" x14ac:dyDescent="0.2">
      <c r="E20" t="s">
        <v>77</v>
      </c>
      <c r="F20" t="s">
        <v>73</v>
      </c>
      <c r="G20" t="s">
        <v>74</v>
      </c>
      <c r="I20" s="18"/>
      <c r="P20">
        <v>149.68053756904601</v>
      </c>
      <c r="Q20">
        <v>6.5605095541401299</v>
      </c>
    </row>
    <row r="21" spans="1:17" x14ac:dyDescent="0.2">
      <c r="E21" s="19">
        <v>1.7789055867872602E-2</v>
      </c>
      <c r="F21" s="19">
        <v>-4.7425285221509501</v>
      </c>
      <c r="G21" s="19">
        <v>296.01030365846799</v>
      </c>
      <c r="H21" s="21"/>
      <c r="P21">
        <v>164.64274387504199</v>
      </c>
      <c r="Q21">
        <v>5.5414012738853504</v>
      </c>
    </row>
    <row r="22" spans="1:17" x14ac:dyDescent="0.2">
      <c r="E22" t="s">
        <v>81</v>
      </c>
      <c r="F22" s="20">
        <f>8.31446261815324*10^-3</f>
        <v>8.3144626181532403E-3</v>
      </c>
      <c r="G22" t="s">
        <v>82</v>
      </c>
      <c r="P22">
        <v>174.42318365620901</v>
      </c>
      <c r="Q22">
        <v>4.5859872611464896</v>
      </c>
    </row>
    <row r="24" spans="1:17" x14ac:dyDescent="0.2">
      <c r="P24">
        <v>105</v>
      </c>
    </row>
    <row r="25" spans="1:17" x14ac:dyDescent="0.2">
      <c r="A25" t="s">
        <v>95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CFB3C-E1F4-49C7-AA56-8521D0FBEF1F}">
  <dimension ref="A1:T36"/>
  <sheetViews>
    <sheetView topLeftCell="F1" workbookViewId="0">
      <selection activeCell="P8" sqref="P8"/>
    </sheetView>
  </sheetViews>
  <sheetFormatPr baseColWidth="10" defaultColWidth="8.83203125" defaultRowHeight="15" x14ac:dyDescent="0.2"/>
  <cols>
    <col min="2" max="2" width="12.1640625" customWidth="1"/>
    <col min="3" max="3" width="10.6640625" customWidth="1"/>
    <col min="4" max="4" width="9.83203125" bestFit="1" customWidth="1"/>
    <col min="7" max="7" width="14.6640625" customWidth="1"/>
    <col min="8" max="9" width="16.1640625" customWidth="1"/>
    <col min="10" max="10" width="19.33203125" customWidth="1"/>
    <col min="11" max="11" width="15.83203125" customWidth="1"/>
    <col min="15" max="15" width="14.1640625" bestFit="1" customWidth="1"/>
    <col min="16" max="16" width="16.5" customWidth="1"/>
    <col min="17" max="20" width="11.83203125" bestFit="1" customWidth="1"/>
  </cols>
  <sheetData>
    <row r="1" spans="1:20" ht="40" x14ac:dyDescent="0.2">
      <c r="A1" s="15" t="s">
        <v>61</v>
      </c>
      <c r="B1" s="16" t="s">
        <v>63</v>
      </c>
      <c r="C1" s="16" t="s">
        <v>62</v>
      </c>
      <c r="D1" s="15" t="s">
        <v>64</v>
      </c>
      <c r="F1" s="15" t="s">
        <v>61</v>
      </c>
      <c r="G1" s="16" t="s">
        <v>69</v>
      </c>
      <c r="H1" s="16" t="s">
        <v>68</v>
      </c>
      <c r="I1" s="15" t="s">
        <v>70</v>
      </c>
      <c r="J1" s="16" t="s">
        <v>79</v>
      </c>
      <c r="K1" s="16" t="s">
        <v>71</v>
      </c>
      <c r="L1" s="15" t="s">
        <v>61</v>
      </c>
      <c r="M1" s="16" t="s">
        <v>69</v>
      </c>
      <c r="N1" s="16" t="s">
        <v>68</v>
      </c>
      <c r="O1" s="15" t="s">
        <v>70</v>
      </c>
      <c r="P1" s="16" t="s">
        <v>71</v>
      </c>
      <c r="Q1" t="s">
        <v>10</v>
      </c>
      <c r="R1" t="s">
        <v>11</v>
      </c>
      <c r="S1" t="s">
        <v>12</v>
      </c>
      <c r="T1" t="s">
        <v>13</v>
      </c>
    </row>
    <row r="2" spans="1:20" x14ac:dyDescent="0.2">
      <c r="A2" s="17">
        <v>185</v>
      </c>
      <c r="B2" s="17">
        <v>0.53610000000000002</v>
      </c>
      <c r="C2" s="17">
        <v>2.0100000000000001E-3</v>
      </c>
      <c r="D2" s="17">
        <v>101</v>
      </c>
      <c r="F2" s="17">
        <v>185</v>
      </c>
      <c r="G2" s="17">
        <f t="shared" ref="G2:H7" si="0">B2*$A$13</f>
        <v>536.1</v>
      </c>
      <c r="H2" s="17">
        <f t="shared" si="0"/>
        <v>2.0100000000000002</v>
      </c>
      <c r="I2" s="17">
        <f t="shared" ref="I2:I7" si="1">D2/$A$12</f>
        <v>1.01</v>
      </c>
      <c r="J2">
        <f>(1/G2)-(1/H2)</f>
        <v>-0.49564711417729479</v>
      </c>
      <c r="K2">
        <f>14.9*(1/($A$18/1000))</f>
        <v>448.04300000000006</v>
      </c>
      <c r="L2" s="17">
        <v>185</v>
      </c>
      <c r="M2" s="17">
        <v>543.29</v>
      </c>
      <c r="N2" s="17">
        <v>2.0990000000000002</v>
      </c>
      <c r="O2" s="17">
        <v>1.0370999999999999</v>
      </c>
      <c r="P2" s="22">
        <f t="shared" ref="P2:P7" si="2">P11-O11</f>
        <v>488.8347</v>
      </c>
      <c r="Q2">
        <f>ABS((M2-G2)/M2)*100</f>
        <v>1.3234184321448843</v>
      </c>
      <c r="R2">
        <f>ABS((N2-H2)/N2)*100</f>
        <v>4.2401143401619805</v>
      </c>
      <c r="S2">
        <f>ABS((O2-I2)/O2)*100</f>
        <v>2.6130556359078105</v>
      </c>
      <c r="T2">
        <f>ABS((P2-K2)/P2)*100</f>
        <v>8.3446817502930806</v>
      </c>
    </row>
    <row r="3" spans="1:20" x14ac:dyDescent="0.2">
      <c r="A3" s="17">
        <v>215</v>
      </c>
      <c r="B3" s="17">
        <v>0.49809999999999999</v>
      </c>
      <c r="C3" s="17">
        <v>8.3300000000000006E-3</v>
      </c>
      <c r="D3" s="17">
        <v>447</v>
      </c>
      <c r="F3" s="17">
        <v>215</v>
      </c>
      <c r="G3" s="17">
        <f t="shared" si="0"/>
        <v>498.09999999999997</v>
      </c>
      <c r="H3" s="17">
        <f t="shared" si="0"/>
        <v>8.33</v>
      </c>
      <c r="I3" s="17">
        <f t="shared" si="1"/>
        <v>4.47</v>
      </c>
      <c r="J3">
        <f t="shared" ref="J3:J7" si="3">(1/G3)-(1/H3)</f>
        <v>-0.11804039021752046</v>
      </c>
      <c r="K3">
        <f>13.47*(1/($A$18/1000))</f>
        <v>405.04290000000009</v>
      </c>
      <c r="L3" s="17">
        <v>215</v>
      </c>
      <c r="M3" s="17">
        <v>503.45</v>
      </c>
      <c r="N3" s="17">
        <v>7.5297000000000001</v>
      </c>
      <c r="O3" s="17">
        <v>4.0720999999999998</v>
      </c>
      <c r="P3" s="22">
        <f t="shared" si="2"/>
        <v>444.14200000000005</v>
      </c>
      <c r="Q3">
        <f t="shared" ref="Q3:S7" si="4">ABS((M3-G3)/M3)*100</f>
        <v>1.0626675936041361</v>
      </c>
      <c r="R3">
        <f t="shared" si="4"/>
        <v>10.628577499767587</v>
      </c>
      <c r="S3">
        <f t="shared" si="4"/>
        <v>9.7713710370570457</v>
      </c>
      <c r="T3">
        <f t="shared" ref="T3:T7" si="5">ABS((P3-K3)/P3)*100</f>
        <v>8.8032881375776117</v>
      </c>
    </row>
    <row r="4" spans="1:20" x14ac:dyDescent="0.2">
      <c r="A4" s="17">
        <v>230</v>
      </c>
      <c r="B4" s="17">
        <v>0.47510000000000002</v>
      </c>
      <c r="C4" s="17">
        <v>1.226E-2</v>
      </c>
      <c r="D4" s="17">
        <v>688</v>
      </c>
      <c r="F4" s="17">
        <v>230</v>
      </c>
      <c r="G4" s="17">
        <f t="shared" si="0"/>
        <v>475.1</v>
      </c>
      <c r="H4" s="17">
        <f t="shared" si="0"/>
        <v>12.26</v>
      </c>
      <c r="I4" s="17">
        <f t="shared" si="1"/>
        <v>6.88</v>
      </c>
      <c r="J4">
        <f t="shared" si="3"/>
        <v>-7.9461248477610796E-2</v>
      </c>
      <c r="K4">
        <f>12.73*(1/($A$18/1000))</f>
        <v>382.79110000000009</v>
      </c>
      <c r="L4" s="17">
        <v>230</v>
      </c>
      <c r="M4" s="17">
        <v>481.29</v>
      </c>
      <c r="N4" s="17">
        <v>12.676</v>
      </c>
      <c r="O4" s="17">
        <v>7.0018000000000002</v>
      </c>
      <c r="P4" s="22">
        <f t="shared" si="2"/>
        <v>416.76</v>
      </c>
      <c r="Q4">
        <f t="shared" si="4"/>
        <v>1.2861268673772563</v>
      </c>
      <c r="R4">
        <f t="shared" si="4"/>
        <v>3.2817923635216184</v>
      </c>
      <c r="S4">
        <f t="shared" si="4"/>
        <v>1.7395526864520603</v>
      </c>
      <c r="T4">
        <f t="shared" si="5"/>
        <v>8.1507102409060153</v>
      </c>
    </row>
    <row r="5" spans="1:20" x14ac:dyDescent="0.2">
      <c r="A5" s="17">
        <v>245</v>
      </c>
      <c r="B5" s="17">
        <v>0.45219999999999999</v>
      </c>
      <c r="C5" s="17">
        <v>2.01E-2</v>
      </c>
      <c r="D5" s="17">
        <v>1140</v>
      </c>
      <c r="F5" s="17">
        <v>245</v>
      </c>
      <c r="G5" s="17">
        <f t="shared" si="0"/>
        <v>452.2</v>
      </c>
      <c r="H5" s="17">
        <f t="shared" si="0"/>
        <v>20.100000000000001</v>
      </c>
      <c r="I5" s="17">
        <f t="shared" si="1"/>
        <v>11.4</v>
      </c>
      <c r="J5">
        <f t="shared" si="3"/>
        <v>-4.753983290095299E-2</v>
      </c>
      <c r="K5">
        <f>11.77*(1/($A$18/1000))</f>
        <v>353.92390000000006</v>
      </c>
      <c r="L5" s="17">
        <v>245</v>
      </c>
      <c r="M5" s="17">
        <v>456.86</v>
      </c>
      <c r="N5" s="17">
        <v>20.315000000000001</v>
      </c>
      <c r="O5" s="17">
        <v>11.247999999999999</v>
      </c>
      <c r="P5" s="22">
        <f t="shared" si="2"/>
        <v>384.5</v>
      </c>
      <c r="Q5">
        <f t="shared" si="4"/>
        <v>1.0200061287921958</v>
      </c>
      <c r="R5">
        <f t="shared" si="4"/>
        <v>1.0583312823037156</v>
      </c>
      <c r="S5">
        <f t="shared" si="4"/>
        <v>1.3513513513513604</v>
      </c>
      <c r="T5">
        <f t="shared" si="5"/>
        <v>7.9521716514954335</v>
      </c>
    </row>
    <row r="6" spans="1:20" x14ac:dyDescent="0.2">
      <c r="A6" s="17">
        <v>260</v>
      </c>
      <c r="B6" s="17">
        <v>0.42820000000000003</v>
      </c>
      <c r="C6" s="17">
        <v>3.1300000000000001E-2</v>
      </c>
      <c r="D6" s="17">
        <v>1750</v>
      </c>
      <c r="F6" s="17">
        <v>260</v>
      </c>
      <c r="G6" s="17">
        <f t="shared" si="0"/>
        <v>428.20000000000005</v>
      </c>
      <c r="H6" s="17">
        <f t="shared" si="0"/>
        <v>31.3</v>
      </c>
      <c r="I6" s="17">
        <f t="shared" si="1"/>
        <v>17.5</v>
      </c>
      <c r="J6">
        <f t="shared" si="3"/>
        <v>-2.9613524479469001E-2</v>
      </c>
      <c r="K6">
        <f>10.6*(1/($A$18/1000))</f>
        <v>318.74200000000002</v>
      </c>
      <c r="L6" s="17">
        <v>260</v>
      </c>
      <c r="M6" s="17">
        <v>429.08</v>
      </c>
      <c r="N6" s="17">
        <v>31.577999999999999</v>
      </c>
      <c r="O6" s="17">
        <v>17.117999999999999</v>
      </c>
      <c r="P6" s="22">
        <f t="shared" si="2"/>
        <v>345.36</v>
      </c>
      <c r="Q6">
        <f t="shared" si="4"/>
        <v>0.20508995991422083</v>
      </c>
      <c r="R6">
        <f t="shared" si="4"/>
        <v>0.88035974412565299</v>
      </c>
      <c r="S6">
        <f t="shared" si="4"/>
        <v>2.2315691085407261</v>
      </c>
      <c r="T6">
        <f t="shared" si="5"/>
        <v>7.7073198980773663</v>
      </c>
    </row>
    <row r="7" spans="1:20" x14ac:dyDescent="0.2">
      <c r="A7" s="17">
        <v>275</v>
      </c>
      <c r="B7" s="17">
        <v>0.39550000000000002</v>
      </c>
      <c r="C7" s="17">
        <v>5.2400000000000002E-2</v>
      </c>
      <c r="D7" s="17">
        <v>2650</v>
      </c>
      <c r="F7" s="17">
        <v>275</v>
      </c>
      <c r="G7" s="17">
        <f t="shared" si="0"/>
        <v>395.5</v>
      </c>
      <c r="H7" s="17">
        <f t="shared" si="0"/>
        <v>52.400000000000006</v>
      </c>
      <c r="I7" s="17">
        <f t="shared" si="1"/>
        <v>26.5</v>
      </c>
      <c r="J7">
        <f t="shared" si="3"/>
        <v>-1.6555524459327738E-2</v>
      </c>
      <c r="K7">
        <f>9*(1/($A$18/1000))</f>
        <v>270.63000000000005</v>
      </c>
      <c r="L7" s="17">
        <v>275</v>
      </c>
      <c r="M7" s="17">
        <v>395.79</v>
      </c>
      <c r="N7" s="17">
        <v>48.643000000000001</v>
      </c>
      <c r="O7" s="17">
        <v>24.952000000000002</v>
      </c>
      <c r="P7" s="22">
        <f t="shared" si="2"/>
        <v>295.63</v>
      </c>
      <c r="Q7">
        <f t="shared" si="4"/>
        <v>7.3271179160671177E-2</v>
      </c>
      <c r="R7">
        <f t="shared" si="4"/>
        <v>7.723619020208468</v>
      </c>
      <c r="S7">
        <f t="shared" si="4"/>
        <v>6.2039115100993838</v>
      </c>
      <c r="T7">
        <f t="shared" si="5"/>
        <v>8.4565165916855332</v>
      </c>
    </row>
    <row r="8" spans="1:20" x14ac:dyDescent="0.2">
      <c r="F8" t="s">
        <v>5</v>
      </c>
      <c r="K8" s="22"/>
      <c r="L8" t="s">
        <v>6</v>
      </c>
      <c r="P8" s="11" t="s">
        <v>7</v>
      </c>
      <c r="Q8" s="11">
        <f>AVERAGE(Q2:Q7)</f>
        <v>0.82843002683222755</v>
      </c>
      <c r="R8" s="11">
        <f t="shared" ref="R8:S8" si="6">AVERAGE(R2:R7)</f>
        <v>4.6354657083481703</v>
      </c>
      <c r="S8" s="11">
        <f t="shared" si="6"/>
        <v>3.9851352215680649</v>
      </c>
      <c r="T8" s="11">
        <f>AVERAGE(T2:T7)</f>
        <v>8.2357813783391745</v>
      </c>
    </row>
    <row r="10" spans="1:20" x14ac:dyDescent="0.2">
      <c r="A10" t="s">
        <v>65</v>
      </c>
      <c r="J10" t="s">
        <v>78</v>
      </c>
      <c r="K10">
        <v>0.10199999999999999</v>
      </c>
    </row>
    <row r="11" spans="1:20" x14ac:dyDescent="0.2">
      <c r="E11" t="s">
        <v>72</v>
      </c>
      <c r="F11" t="s">
        <v>75</v>
      </c>
      <c r="G11" t="s">
        <v>87</v>
      </c>
      <c r="H11" t="s">
        <v>80</v>
      </c>
      <c r="I11" t="s">
        <v>88</v>
      </c>
      <c r="O11">
        <v>1.0552999999999999</v>
      </c>
      <c r="P11">
        <v>489.89</v>
      </c>
    </row>
    <row r="12" spans="1:20" x14ac:dyDescent="0.2">
      <c r="A12">
        <v>100</v>
      </c>
      <c r="B12" t="s">
        <v>66</v>
      </c>
      <c r="E12">
        <f>1/F12</f>
        <v>5.4054054054054057E-3</v>
      </c>
      <c r="F12">
        <f>F2</f>
        <v>185</v>
      </c>
      <c r="G12">
        <f>I2*10^5</f>
        <v>101000</v>
      </c>
      <c r="H12">
        <f>LN(G12)</f>
        <v>11.522875795823397</v>
      </c>
      <c r="I12">
        <f>1.7225*10^2*EXP(3.5598*10^-2*F12)</f>
        <v>124813.62578082642</v>
      </c>
      <c r="K12" t="s">
        <v>89</v>
      </c>
      <c r="L12">
        <v>195</v>
      </c>
      <c r="O12">
        <v>76.817999999999998</v>
      </c>
      <c r="P12">
        <v>520.96</v>
      </c>
    </row>
    <row r="13" spans="1:20" x14ac:dyDescent="0.2">
      <c r="A13">
        <v>1000</v>
      </c>
      <c r="B13" t="s">
        <v>67</v>
      </c>
      <c r="E13">
        <f t="shared" ref="E13:E17" si="7">1/F13</f>
        <v>4.6511627906976744E-3</v>
      </c>
      <c r="F13">
        <f t="shared" ref="F13:F17" si="8">F3</f>
        <v>215</v>
      </c>
      <c r="G13">
        <f t="shared" ref="G13:G17" si="9">I3*10^5</f>
        <v>447000</v>
      </c>
      <c r="H13">
        <f t="shared" ref="H13:H17" si="10">LN(G13)</f>
        <v>13.010313873595706</v>
      </c>
      <c r="I13">
        <f t="shared" ref="I13:I17" si="11">1.7225*10^2*EXP(3.5598*10^-2*F13)</f>
        <v>363130.26655098499</v>
      </c>
      <c r="K13" t="s">
        <v>90</v>
      </c>
      <c r="L13">
        <v>175</v>
      </c>
      <c r="O13">
        <v>117.01</v>
      </c>
      <c r="P13">
        <v>533.77</v>
      </c>
    </row>
    <row r="14" spans="1:20" x14ac:dyDescent="0.2">
      <c r="E14">
        <f t="shared" si="7"/>
        <v>4.3478260869565218E-3</v>
      </c>
      <c r="F14">
        <f t="shared" si="8"/>
        <v>230</v>
      </c>
      <c r="G14">
        <f t="shared" si="9"/>
        <v>688000</v>
      </c>
      <c r="H14">
        <f t="shared" si="10"/>
        <v>13.44154411691548</v>
      </c>
      <c r="I14">
        <f t="shared" si="11"/>
        <v>619387.83719236299</v>
      </c>
      <c r="J14" s="22"/>
      <c r="K14" t="s">
        <v>91</v>
      </c>
      <c r="L14">
        <f>1.7225*10^2*EXP(3.5598*10^-2*L12)</f>
        <v>178181.31062903753</v>
      </c>
      <c r="O14">
        <v>159.41999999999999</v>
      </c>
      <c r="P14">
        <v>543.91999999999996</v>
      </c>
    </row>
    <row r="15" spans="1:20" x14ac:dyDescent="0.2">
      <c r="E15">
        <f t="shared" si="7"/>
        <v>4.0816326530612249E-3</v>
      </c>
      <c r="F15">
        <f t="shared" si="8"/>
        <v>245</v>
      </c>
      <c r="G15">
        <f t="shared" si="9"/>
        <v>1140000</v>
      </c>
      <c r="H15">
        <f t="shared" si="10"/>
        <v>13.946538820370678</v>
      </c>
      <c r="I15">
        <f t="shared" si="11"/>
        <v>1056483.9348305017</v>
      </c>
      <c r="K15" t="s">
        <v>92</v>
      </c>
      <c r="L15">
        <f>1.7225*10^2*EXP(3.5598*10^-2*L13)</f>
        <v>87430.276079793417</v>
      </c>
      <c r="O15">
        <v>204.88</v>
      </c>
      <c r="P15">
        <v>550.24</v>
      </c>
    </row>
    <row r="16" spans="1:20" x14ac:dyDescent="0.2">
      <c r="A16" t="s">
        <v>22</v>
      </c>
      <c r="E16">
        <f t="shared" si="7"/>
        <v>3.8461538461538464E-3</v>
      </c>
      <c r="F16">
        <f t="shared" si="8"/>
        <v>260</v>
      </c>
      <c r="G16">
        <f t="shared" si="9"/>
        <v>1750000</v>
      </c>
      <c r="H16">
        <f t="shared" si="10"/>
        <v>14.375126345899696</v>
      </c>
      <c r="I16">
        <f t="shared" si="11"/>
        <v>1802034.5856554089</v>
      </c>
      <c r="K16" t="s">
        <v>93</v>
      </c>
      <c r="L16" s="20">
        <f>LN(L14/L15)*$F$22*-1*(1/(((1-L12)-(1-L13))))*A18</f>
        <v>9.8429744024282964E-3</v>
      </c>
      <c r="O16">
        <v>254.92</v>
      </c>
      <c r="P16">
        <v>550.54999999999995</v>
      </c>
    </row>
    <row r="17" spans="1:9" x14ac:dyDescent="0.2">
      <c r="A17">
        <v>30.07</v>
      </c>
      <c r="B17" t="s">
        <v>18</v>
      </c>
      <c r="E17">
        <f t="shared" si="7"/>
        <v>3.6363636363636364E-3</v>
      </c>
      <c r="F17">
        <f t="shared" si="8"/>
        <v>275</v>
      </c>
      <c r="G17">
        <f t="shared" si="9"/>
        <v>2650000</v>
      </c>
      <c r="H17">
        <f t="shared" si="10"/>
        <v>14.790070197962406</v>
      </c>
      <c r="I17">
        <f t="shared" si="11"/>
        <v>3073713.2301204852</v>
      </c>
    </row>
    <row r="18" spans="1:9" x14ac:dyDescent="0.2">
      <c r="A18">
        <f>1/(A17/1000)</f>
        <v>33.255736614566011</v>
      </c>
      <c r="B18" t="s">
        <v>16</v>
      </c>
    </row>
    <row r="19" spans="1:9" x14ac:dyDescent="0.2">
      <c r="E19" t="s">
        <v>76</v>
      </c>
    </row>
    <row r="20" spans="1:9" x14ac:dyDescent="0.2">
      <c r="E20" t="s">
        <v>77</v>
      </c>
      <c r="F20" t="s">
        <v>73</v>
      </c>
      <c r="G20" t="s">
        <v>74</v>
      </c>
      <c r="I20" s="18"/>
    </row>
    <row r="21" spans="1:9" x14ac:dyDescent="0.2">
      <c r="E21" s="19">
        <v>1.7789055867872602E-2</v>
      </c>
      <c r="F21" s="19">
        <v>-4.7425285221509501</v>
      </c>
      <c r="G21" s="19">
        <v>296.01030365846799</v>
      </c>
      <c r="H21" s="21"/>
    </row>
    <row r="22" spans="1:9" x14ac:dyDescent="0.2">
      <c r="E22" t="s">
        <v>81</v>
      </c>
      <c r="F22" s="20">
        <f>8.31446261815324*10^-3</f>
        <v>8.3144626181532403E-3</v>
      </c>
      <c r="G22" t="s">
        <v>82</v>
      </c>
    </row>
    <row r="28" spans="1:9" x14ac:dyDescent="0.2">
      <c r="F28" t="s">
        <v>75</v>
      </c>
      <c r="G28" t="s">
        <v>83</v>
      </c>
      <c r="H28" t="s">
        <v>84</v>
      </c>
      <c r="I28" t="s">
        <v>85</v>
      </c>
    </row>
    <row r="29" spans="1:9" x14ac:dyDescent="0.2">
      <c r="F29">
        <f>F2</f>
        <v>185</v>
      </c>
      <c r="G29">
        <f>1/G2</f>
        <v>1.8653236336504382E-3</v>
      </c>
      <c r="H29">
        <f>1/H2</f>
        <v>0.49751243781094523</v>
      </c>
      <c r="I29">
        <f>H29-G29</f>
        <v>0.49564711417729479</v>
      </c>
    </row>
    <row r="30" spans="1:9" x14ac:dyDescent="0.2">
      <c r="F30">
        <f t="shared" ref="F30:F34" si="12">F3</f>
        <v>215</v>
      </c>
      <c r="G30">
        <f t="shared" ref="G30:H30" si="13">1/G3</f>
        <v>2.0076289901626181E-3</v>
      </c>
      <c r="H30">
        <f t="shared" si="13"/>
        <v>0.12004801920768307</v>
      </c>
      <c r="I30">
        <f t="shared" ref="I30:I34" si="14">H30-G30</f>
        <v>0.11804039021752046</v>
      </c>
    </row>
    <row r="31" spans="1:9" x14ac:dyDescent="0.2">
      <c r="F31">
        <f t="shared" si="12"/>
        <v>230</v>
      </c>
      <c r="G31">
        <f t="shared" ref="G31:H31" si="15">1/G4</f>
        <v>2.1048200378867604E-3</v>
      </c>
      <c r="H31">
        <f t="shared" si="15"/>
        <v>8.1566068515497553E-2</v>
      </c>
      <c r="I31">
        <f t="shared" si="14"/>
        <v>7.9461248477610796E-2</v>
      </c>
    </row>
    <row r="32" spans="1:9" x14ac:dyDescent="0.2">
      <c r="F32">
        <f t="shared" si="12"/>
        <v>245</v>
      </c>
      <c r="G32">
        <f t="shared" ref="G32:H32" si="16">1/G5</f>
        <v>2.2114108801415304E-3</v>
      </c>
      <c r="H32">
        <f t="shared" si="16"/>
        <v>4.9751243781094523E-2</v>
      </c>
      <c r="I32">
        <f t="shared" si="14"/>
        <v>4.753983290095299E-2</v>
      </c>
    </row>
    <row r="33" spans="6:9" x14ac:dyDescent="0.2">
      <c r="F33">
        <f t="shared" si="12"/>
        <v>260</v>
      </c>
      <c r="G33">
        <f t="shared" ref="G33:H33" si="17">1/G6</f>
        <v>2.3353573096683792E-3</v>
      </c>
      <c r="H33">
        <f t="shared" si="17"/>
        <v>3.1948881789137379E-2</v>
      </c>
      <c r="I33">
        <f t="shared" si="14"/>
        <v>2.9613524479469001E-2</v>
      </c>
    </row>
    <row r="34" spans="6:9" x14ac:dyDescent="0.2">
      <c r="F34">
        <f t="shared" si="12"/>
        <v>275</v>
      </c>
      <c r="G34">
        <f t="shared" ref="G34:H34" si="18">1/G7</f>
        <v>2.5284450063211127E-3</v>
      </c>
      <c r="H34">
        <f t="shared" si="18"/>
        <v>1.9083969465648852E-2</v>
      </c>
      <c r="I34">
        <f t="shared" si="14"/>
        <v>1.6555524459327738E-2</v>
      </c>
    </row>
    <row r="36" spans="6:9" x14ac:dyDescent="0.2">
      <c r="F36" t="s">
        <v>86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6AF60-7807-4B6E-88AB-892F32D8104E}">
  <dimension ref="A1:E8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1" max="1" width="12.1640625" bestFit="1" customWidth="1"/>
    <col min="2" max="2" width="11.33203125" bestFit="1" customWidth="1"/>
    <col min="3" max="3" width="11.6640625" bestFit="1" customWidth="1"/>
    <col min="4" max="4" width="8" bestFit="1" customWidth="1"/>
    <col min="5" max="5" width="10.83203125" bestFit="1" customWidth="1"/>
  </cols>
  <sheetData>
    <row r="1" spans="1:5" x14ac:dyDescent="0.2">
      <c r="B1" t="s">
        <v>9</v>
      </c>
      <c r="C1" t="s">
        <v>8</v>
      </c>
      <c r="D1" t="s">
        <v>56</v>
      </c>
      <c r="E1" t="s">
        <v>57</v>
      </c>
    </row>
    <row r="2" spans="1:5" x14ac:dyDescent="0.2">
      <c r="A2" t="s">
        <v>58</v>
      </c>
      <c r="B2" s="14">
        <f>'r50 (me)'!L19</f>
        <v>1.3736012905543122</v>
      </c>
      <c r="C2" s="14">
        <f>'r50 (me)'!M19</f>
        <v>3.7481491872525203</v>
      </c>
      <c r="D2" s="14">
        <f>'r50 (me)'!N19</f>
        <v>0.81996010952845522</v>
      </c>
      <c r="E2" s="14">
        <f>'r50 (me)'!O19</f>
        <v>8.4320156814544376</v>
      </c>
    </row>
    <row r="3" spans="1:5" x14ac:dyDescent="0.2">
      <c r="A3" t="s">
        <v>59</v>
      </c>
      <c r="B3" s="14">
        <f>'r170 (Et)'!M18</f>
        <v>2.0643786567447981</v>
      </c>
      <c r="C3" s="14">
        <f>'r170 (Et)'!N18</f>
        <v>3.1941882157118866</v>
      </c>
      <c r="D3" s="14">
        <f>'r170 (Et)'!O18</f>
        <v>1.8595293113015967</v>
      </c>
      <c r="E3" s="14">
        <f>'r170 (Et)'!P18</f>
        <v>14.402866091564068</v>
      </c>
    </row>
    <row r="4" spans="1:5" x14ac:dyDescent="0.2">
      <c r="A4" t="s">
        <v>60</v>
      </c>
      <c r="B4" s="14">
        <f>'r14'!L13</f>
        <v>0.37698189989661685</v>
      </c>
      <c r="C4" s="14">
        <f>'r14'!M13</f>
        <v>1.8730772191359009</v>
      </c>
      <c r="D4" s="14">
        <f>'r14'!N13</f>
        <v>0.48123239296187909</v>
      </c>
      <c r="E4" s="14">
        <f>'r14'!O13</f>
        <v>1.9918585971574518</v>
      </c>
    </row>
    <row r="5" spans="1:5" x14ac:dyDescent="0.2">
      <c r="A5" t="s">
        <v>94</v>
      </c>
      <c r="B5" s="14">
        <f>'r50_Trappe'!Q8</f>
        <v>0.77220154434921706</v>
      </c>
      <c r="C5" s="14">
        <f>'r50_Trappe'!R8</f>
        <v>6.5367308357090934</v>
      </c>
      <c r="D5" s="14">
        <f>'r50_Trappe'!S8</f>
        <v>7.9992461741656351</v>
      </c>
      <c r="E5" s="14">
        <f>'r50_Trappe'!T8</f>
        <v>1.0936979738329453</v>
      </c>
    </row>
    <row r="6" spans="1:5" x14ac:dyDescent="0.2">
      <c r="A6" t="s">
        <v>97</v>
      </c>
      <c r="B6" s="14">
        <f>'r170_Trappe'!Q8</f>
        <v>0.82843002683222755</v>
      </c>
      <c r="C6" s="14">
        <f>'r170_Trappe'!R8</f>
        <v>4.6354657083481703</v>
      </c>
      <c r="D6" s="14">
        <f>'r170_Trappe'!S8</f>
        <v>3.9851352215680649</v>
      </c>
      <c r="E6" s="14">
        <f>'r170_Trappe'!T8</f>
        <v>8.2357813783391745</v>
      </c>
    </row>
    <row r="8" spans="1:5" x14ac:dyDescent="0.2">
      <c r="A8" t="s">
        <v>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F A A B Q S w M E F A A C A A g A 2 n m G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D a e Y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n m G V f y L R 5 T W A g A A 9 Q 0 A A B M A H A B G b 3 J t d W x h c y 9 T Z W N 0 a W 9 u M S 5 t I K I Y A C i g F A A A A A A A A A A A A A A A A A A A A A A A A A A A A O 2 W y 2 7 a Q B S G 1 0 X i H U b O x k T E Y J w 0 v c i L C t K G R I l o o e k C q D X Y B 3 A z F 2 t m 7 C Z C L L q p + n Z 9 h z 5 J x 8 Y l U W V i o k h t F m E D 8 v k 8 5 8 z 8 n 2 w k + C r k D P V X 3 / b r a q V a k X M s I E A 7 x g B P C D S b L W T 2 8 A z Q Y c 1 A L i K g q h W k P 3 0 e C x / 0 l V 4 w t T J U m m 9 D A l a b M w V M S d N o v x p 9 l C D k i P p Y k F G H f 2 W E 4 0 C O v k Q v m 4 c t 2 z n 0 Z O g 1 m 7 Y V B V O j V k f D L o 0 I U H 0 3 T u d x D d t y j H G t v u q 4 n s f N m y + G 3 c B d j 2 m M l 8 M O V n i c 4 z t G T 3 D K l d 7 L M e B A z 5 H O n 9 F W X s m v m 3 + W 0 B P k l T e E 9 H 1 M s J C u E j G s Z 9 g x 2 n P M Z n r N w X U E N w s O B G Z y y g V t c x J T l h a l W T B B f b E w B s g 8 r R l 1 1 G X q + b 6 V o s s 6 W h g / v 3 k L s k T m 5 a x B P y + c J U o Z p a u I x X Q C Y g 0 l Z V D P n G B R V P j 1 4 / t x d v / w 8 q R B O R n / x S x r 1 U r I C n d a q I a T q / H i k a j h F K v h P F w N 5 0 m N e 6 l h 2 7 k a 9 s H j c E M P V O S G b T / Y D d t + c u N + j 4 2 b N w o y W 4 9 D j 6 e 3 y n / X Q 9 j 7 H l x F X q B P u 1 C J t k y s D v f j N M l S K V a Y H L 0 T O I i x A u 8 D S M D C n 4 / O M I u l L 8 J I V 8 8 5 I y H T 1 7 0 z H g D x 2 p i E E 5 F p s t f D E Q h 7 d H s s S 1 0 p b d S w A y S k o Q L h G s / 0 Z l f p S L d 1 U E d H z O d B y G a u 3 T r Q y b + P d V B 9 d U 3 A v f l p 6 b a 3 w 9 / a q N V R / C O f g O r 9 Y x U L K D a r J 0 D K r L r B i w 4 w G a p r Z J I 6 S s 1 y i q C L d B L I G O o 0 L m d F j G 4 M g m G i D x f E L F 8 w U 6 2 I P m J q j k m 0 B S Z 4 T m X Q 7 m k R 1 k 5 K i a i M 0 L G x A P W j w F r t s y G L q B M e E 9 g b z D m V + i 9 5 C p 4 2 N p z s R S h 9 v j 7 b u I d 3 C 1 c c z E F Q S + v J 8 s 6 f G n T D h L G Y W m i Q B p b 3 P m / Q O z N N t s g 0 u U + m y X a Z l m G r T J P S T E u I q I y 4 n W m y b a b J d p k m W 2 e a b M j 0 r k f u b 1 B L A Q I t A B Q A A g A I A N p 5 h l U e 7 e S T o w A A A P Y A A A A S A A A A A A A A A A A A A A A A A A A A A A B D b 2 5 m a W c v U G F j a 2 F n Z S 5 4 b W x Q S w E C L Q A U A A I A C A D a e Y Z V D 8 r p q 6 Q A A A D p A A A A E w A A A A A A A A A A A A A A A A D v A A A A W 0 N v b n R l b n R f V H l w Z X N d L n h t b F B L A Q I t A B Q A A g A I A N p 5 h l X 8 i 0 e U 1 g I A A P U N A A A T A A A A A A A A A A A A A A A A A O A B A A B G b 3 J t d W x h c y 9 T Z W N 0 a W 9 u M S 5 t U E s F B g A A A A A D A A M A w g A A A A M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B G A A A A A A A A 3 k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y X 1 9 Q Y W d l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Z U M T k 6 M D Y 6 M T Y u M z A 2 N j Q w M 1 o i I C 8 + P E V u d H J 5 I F R 5 c G U 9 I k Z p b G x D b 2 x 1 b W 5 U e X B l c y I g V m F s d W U 9 I n N B d 1 V G Q l F V P S I g L z 4 8 R W 5 0 c n k g V H l w Z T 0 i R m l s b E N v b H V t b k 5 h b W V z I i B W Y W x 1 Z T 0 i c 1 s m c X V v d D t U I C h L K S Z x d W 9 0 O y w m c X V v d D v P g V 9 7 b H 0 g K G t n L 2 1 e e z N 9 I C k m c X V v d D s s J n F 1 b 3 Q 7 z 4 F f e 3 Z 9 I C h r Z y 9 t X n s z f S A p J n F 1 b 3 Q 7 L C Z x d W 9 0 O 1 A o Y m F y K S Z x d W 9 0 O y w m c X V v d D v i i I Z I X 3 t 2 f S B b a 0 o v b W 9 s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c p L 0 F 1 d G 9 S Z W 1 v d m V k Q 2 9 s d W 1 u c z E u e 1 Q g K E s p L D B 9 J n F 1 b 3 Q 7 L C Z x d W 9 0 O 1 N l Y 3 R p b 2 4 x L 1 R h Y m x l M D A y I C h Q Y W d l I D c p L 0 F 1 d G 9 S Z W 1 v d m V k Q 2 9 s d W 1 u c z E u e 8 + B X 3 t 7 b H 0 g K G t n L 2 1 e e 3 s z f S A p L D F 9 J n F 1 b 3 Q 7 L C Z x d W 9 0 O 1 N l Y 3 R p b 2 4 x L 1 R h Y m x l M D A y I C h Q Y W d l I D c p L 0 F 1 d G 9 S Z W 1 v d m V k Q 2 9 s d W 1 u c z E u e 8 + B X 3 t 7 d n 0 g K G t n L 2 1 e e 3 s z f S A p L D J 9 J n F 1 b 3 Q 7 L C Z x d W 9 0 O 1 N l Y 3 R p b 2 4 x L 1 R h Y m x l M D A y I C h Q Y W d l I D c p L 0 F 1 d G 9 S Z W 1 v d m V k Q 2 9 s d W 1 u c z E u e 1 A o Y m F y K S w z f S Z x d W 9 0 O y w m c X V v d D t T Z W N 0 a W 9 u M S 9 U Y W J s Z T A w M i A o U G F n Z S A 3 K S 9 B d X R v U m V t b 3 Z l Z E N v b H V t b n M x L n v i i I Z I X 3 t 7 d n 0 g W 2 t K L 2 1 v b F 0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I g K F B h Z 2 U g N y k v Q X V 0 b 1 J l b W 9 2 Z W R D b 2 x 1 b W 5 z M S 5 7 V C A o S y k s M H 0 m c X V v d D s s J n F 1 b 3 Q 7 U 2 V j d G l v b j E v V G F i b G U w M D I g K F B h Z 2 U g N y k v Q X V 0 b 1 J l b W 9 2 Z W R D b 2 x 1 b W 5 z M S 5 7 z 4 F f e 3 t s f S A o a 2 c v b V 5 7 e z N 9 I C k s M X 0 m c X V v d D s s J n F 1 b 3 Q 7 U 2 V j d G l v b j E v V G F i b G U w M D I g K F B h Z 2 U g N y k v Q X V 0 b 1 J l b W 9 2 Z W R D b 2 x 1 b W 5 z M S 5 7 z 4 F f e 3 t 2 f S A o a 2 c v b V 5 7 e z N 9 I C k s M n 0 m c X V v d D s s J n F 1 b 3 Q 7 U 2 V j d G l v b j E v V G F i b G U w M D I g K F B h Z 2 U g N y k v Q X V 0 b 1 J l b W 9 2 Z W R D b 2 x 1 b W 5 z M S 5 7 U C h i Y X I p L D N 9 J n F 1 b 3 Q 7 L C Z x d W 9 0 O 1 N l Y 3 R p b 2 4 x L 1 R h Y m x l M D A y I C h Q Y W d l I D c p L 0 F 1 d G 9 S Z W 1 v d m V k Q 2 9 s d W 1 u c z E u e + K I h k h f e 3 t 2 f S B b a 0 o v b W 9 s X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3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1 9 f U G F n Z V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2 V D E 5 O j A 3 O j A 5 L j c w N D I 2 M D B a I i A v P j x F b n R y e S B U e X B l P S J G a W x s Q 2 9 s d W 1 u V H l w Z X M i I F Z h b H V l P S J z Q X d V R k J R V T 0 i I C 8 + P E V u d H J 5 I F R 5 c G U 9 I k Z p b G x D b 2 x 1 b W 5 O Y W 1 l c y I g V m F s d W U 9 I n N b J n F 1 b 3 Q 7 V C A o S y k m c X V v d D s s J n F 1 b 3 Q 7 z 4 F f e 2 x 9 I C h r Z y 9 t X n s z f S A p J n F 1 b 3 Q 7 L C Z x d W 9 0 O 8 + B X 3 t 2 f S A o a 2 c v b V 5 7 M 3 0 g K S Z x d W 9 0 O y w m c X V v d D t Q K G J h c i k m c X V v d D s s J n F 1 b 3 Q 7 4 o i G S F 9 7 d n 0 g W 2 t K L 2 1 v b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4 K S 9 B d X R v U m V t b 3 Z l Z E N v b H V t b n M x L n t U I C h L K S w w f S Z x d W 9 0 O y w m c X V v d D t T Z W N 0 a W 9 u M S 9 U Y W J s Z T A w M y A o U G F n Z S A 4 K S 9 B d X R v U m V t b 3 Z l Z E N v b H V t b n M x L n v P g V 9 7 e 2 x 9 I C h r Z y 9 t X n t 7 M 3 0 g K S w x f S Z x d W 9 0 O y w m c X V v d D t T Z W N 0 a W 9 u M S 9 U Y W J s Z T A w M y A o U G F n Z S A 4 K S 9 B d X R v U m V t b 3 Z l Z E N v b H V t b n M x L n v P g V 9 7 e 3 Z 9 I C h r Z y 9 t X n t 7 M 3 0 g K S w y f S Z x d W 9 0 O y w m c X V v d D t T Z W N 0 a W 9 u M S 9 U Y W J s Z T A w M y A o U G F n Z S A 4 K S 9 B d X R v U m V t b 3 Z l Z E N v b H V t b n M x L n t Q K G J h c i k s M 3 0 m c X V v d D s s J n F 1 b 3 Q 7 U 2 V j d G l v b j E v V G F i b G U w M D M g K F B h Z 2 U g O C k v Q X V 0 b 1 J l b W 9 2 Z W R D b 2 x 1 b W 5 z M S 5 7 4 o i G S F 9 7 e 3 Z 9 I F t r S i 9 t b 2 x d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z I C h Q Y W d l I D g p L 0 F 1 d G 9 S Z W 1 v d m V k Q 2 9 s d W 1 u c z E u e 1 Q g K E s p L D B 9 J n F 1 b 3 Q 7 L C Z x d W 9 0 O 1 N l Y 3 R p b 2 4 x L 1 R h Y m x l M D A z I C h Q Y W d l I D g p L 0 F 1 d G 9 S Z W 1 v d m V k Q 2 9 s d W 1 u c z E u e 8 + B X 3 t 7 b H 0 g K G t n L 2 1 e e 3 s z f S A p L D F 9 J n F 1 b 3 Q 7 L C Z x d W 9 0 O 1 N l Y 3 R p b 2 4 x L 1 R h Y m x l M D A z I C h Q Y W d l I D g p L 0 F 1 d G 9 S Z W 1 v d m V k Q 2 9 s d W 1 u c z E u e 8 + B X 3 t 7 d n 0 g K G t n L 2 1 e e 3 s z f S A p L D J 9 J n F 1 b 3 Q 7 L C Z x d W 9 0 O 1 N l Y 3 R p b 2 4 x L 1 R h Y m x l M D A z I C h Q Y W d l I D g p L 0 F 1 d G 9 S Z W 1 v d m V k Q 2 9 s d W 1 u c z E u e 1 A o Y m F y K S w z f S Z x d W 9 0 O y w m c X V v d D t T Z W N 0 a W 9 u M S 9 U Y W J s Z T A w M y A o U G F n Z S A 4 K S 9 B d X R v U m V t b 3 Z l Z E N v b H V t b n M x L n v i i I Z I X 3 t 7 d n 0 g W 2 t K L 2 1 v b F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O C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E x X 1 9 Q Y W d l X z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2 V D E 5 O j A 4 O j I x L j E 4 N j Y y M T Z a I i A v P j x F b n R y e S B U e X B l P S J G a W x s Q 2 9 s d W 1 u V H l w Z X M i I F Z h b H V l P S J z Q X d V R k J R V T 0 i I C 8 + P E V u d H J 5 I F R 5 c G U 9 I k Z p b G x D b 2 x 1 b W 5 O Y W 1 l c y I g V m F s d W U 9 I n N b J n F 1 b 3 Q 7 V C A o S y k m c X V v d D s s J n F 1 b 3 Q 7 z 4 F f e 2 x 9 I C h r Z y 9 t X n s z f S A p J n F 1 b 3 Q 7 L C Z x d W 9 0 O 8 + B X 3 t 2 f S A o a 2 c v b V 5 7 M 3 0 g K S Z x d W 9 0 O y w m c X V v d D t Q K G J h c i k m c X V v d D s s J n F 1 b 3 Q 7 4 o i G S F 9 7 d n 0 g W 2 t K L 2 1 v b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S A o U G F n Z S A x N S k v Q X V 0 b 1 J l b W 9 2 Z W R D b 2 x 1 b W 5 z M S 5 7 V C A o S y k s M H 0 m c X V v d D s s J n F 1 b 3 Q 7 U 2 V j d G l v b j E v V G F i b G U w M T E g K F B h Z 2 U g M T U p L 0 F 1 d G 9 S Z W 1 v d m V k Q 2 9 s d W 1 u c z E u e 8 + B X 3 t 7 b H 0 g K G t n L 2 1 e e 3 s z f S A p L D F 9 J n F 1 b 3 Q 7 L C Z x d W 9 0 O 1 N l Y 3 R p b 2 4 x L 1 R h Y m x l M D E x I C h Q Y W d l I D E 1 K S 9 B d X R v U m V t b 3 Z l Z E N v b H V t b n M x L n v P g V 9 7 e 3 Z 9 I C h r Z y 9 t X n t 7 M 3 0 g K S w y f S Z x d W 9 0 O y w m c X V v d D t T Z W N 0 a W 9 u M S 9 U Y W J s Z T A x M S A o U G F n Z S A x N S k v Q X V 0 b 1 J l b W 9 2 Z W R D b 2 x 1 b W 5 z M S 5 7 U C h i Y X I p L D N 9 J n F 1 b 3 Q 7 L C Z x d W 9 0 O 1 N l Y 3 R p b 2 4 x L 1 R h Y m x l M D E x I C h Q Y W d l I D E 1 K S 9 B d X R v U m V t b 3 Z l Z E N v b H V t b n M x L n v i i I Z I X 3 t 7 d n 0 g W 2 t K L 2 1 v b F 0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T E g K F B h Z 2 U g M T U p L 0 F 1 d G 9 S Z W 1 v d m V k Q 2 9 s d W 1 u c z E u e 1 Q g K E s p L D B 9 J n F 1 b 3 Q 7 L C Z x d W 9 0 O 1 N l Y 3 R p b 2 4 x L 1 R h Y m x l M D E x I C h Q Y W d l I D E 1 K S 9 B d X R v U m V t b 3 Z l Z E N v b H V t b n M x L n v P g V 9 7 e 2 x 9 I C h r Z y 9 t X n t 7 M 3 0 g K S w x f S Z x d W 9 0 O y w m c X V v d D t T Z W N 0 a W 9 u M S 9 U Y W J s Z T A x M S A o U G F n Z S A x N S k v Q X V 0 b 1 J l b W 9 2 Z W R D b 2 x 1 b W 5 z M S 5 7 z 4 F f e 3 t 2 f S A o a 2 c v b V 5 7 e z N 9 I C k s M n 0 m c X V v d D s s J n F 1 b 3 Q 7 U 2 V j d G l v b j E v V G F i b G U w M T E g K F B h Z 2 U g M T U p L 0 F 1 d G 9 S Z W 1 v d m V k Q 2 9 s d W 1 u c z E u e 1 A o Y m F y K S w z f S Z x d W 9 0 O y w m c X V v d D t T Z W N 0 a W 9 u M S 9 U Y W J s Z T A x M S A o U G F n Z S A x N S k v Q X V 0 b 1 J l b W 9 2 Z W R D b 2 x 1 b W 5 z M S 5 7 4 o i G S F 9 7 e 3 Z 9 I F t r S i 9 t b 2 x d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M S U y M C h Q Y W d l J T I w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x N S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M T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N y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l 9 f U G F n Z V 8 3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Z U M T k 6 M D Y 6 M T Y u M z A 2 N j Q w M 1 o i I C 8 + P E V u d H J 5 I F R 5 c G U 9 I k Z p b G x D b 2 x 1 b W 5 U e X B l c y I g V m F s d W U 9 I n N B d 1 V G Q l F V P S I g L z 4 8 R W 5 0 c n k g V H l w Z T 0 i R m l s b E N v b H V t b k 5 h b W V z I i B W Y W x 1 Z T 0 i c 1 s m c X V v d D t U I C h L K S Z x d W 9 0 O y w m c X V v d D v P g V 9 7 b H 0 g K G t n L 2 1 e e z N 9 I C k m c X V v d D s s J n F 1 b 3 Q 7 z 4 F f e 3 Z 9 I C h r Z y 9 t X n s z f S A p J n F 1 b 3 Q 7 L C Z x d W 9 0 O 1 A o Y m F y K S Z x d W 9 0 O y w m c X V v d D v i i I Z I X 3 t 2 f S B b a 0 o v b W 9 s X S Z x d W 9 0 O 1 0 i I C 8 + P E V u d H J 5 I F R 5 c G U 9 I k Z p b G x T d G F 0 d X M i I F Z h b H V l P S J z Q 2 9 t c G x l d G U i I C 8 + P E V u d H J 5 I F R 5 c G U 9 I k Z p b G x D b 3 V u d C I g V m F s d W U 9 I m w x N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N y k v Q X V 0 b 1 J l b W 9 2 Z W R D b 2 x 1 b W 5 z M S 5 7 V C A o S y k s M H 0 m c X V v d D s s J n F 1 b 3 Q 7 U 2 V j d G l v b j E v V G F i b G U w M D I g K F B h Z 2 U g N y k v Q X V 0 b 1 J l b W 9 2 Z W R D b 2 x 1 b W 5 z M S 5 7 z 4 F f e 3 t s f S A o a 2 c v b V 5 7 e z N 9 I C k s M X 0 m c X V v d D s s J n F 1 b 3 Q 7 U 2 V j d G l v b j E v V G F i b G U w M D I g K F B h Z 2 U g N y k v Q X V 0 b 1 J l b W 9 2 Z W R D b 2 x 1 b W 5 z M S 5 7 z 4 F f e 3 t 2 f S A o a 2 c v b V 5 7 e z N 9 I C k s M n 0 m c X V v d D s s J n F 1 b 3 Q 7 U 2 V j d G l v b j E v V G F i b G U w M D I g K F B h Z 2 U g N y k v Q X V 0 b 1 J l b W 9 2 Z W R D b 2 x 1 b W 5 z M S 5 7 U C h i Y X I p L D N 9 J n F 1 b 3 Q 7 L C Z x d W 9 0 O 1 N l Y 3 R p b 2 4 x L 1 R h Y m x l M D A y I C h Q Y W d l I D c p L 0 F 1 d G 9 S Z W 1 v d m V k Q 2 9 s d W 1 u c z E u e + K I h k h f e 3 t 2 f S B b a 0 o v b W 9 s X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i A o U G F n Z S A 3 K S 9 B d X R v U m V t b 3 Z l Z E N v b H V t b n M x L n t U I C h L K S w w f S Z x d W 9 0 O y w m c X V v d D t T Z W N 0 a W 9 u M S 9 U Y W J s Z T A w M i A o U G F n Z S A 3 K S 9 B d X R v U m V t b 3 Z l Z E N v b H V t b n M x L n v P g V 9 7 e 2 x 9 I C h r Z y 9 t X n t 7 M 3 0 g K S w x f S Z x d W 9 0 O y w m c X V v d D t T Z W N 0 a W 9 u M S 9 U Y W J s Z T A w M i A o U G F n Z S A 3 K S 9 B d X R v U m V t b 3 Z l Z E N v b H V t b n M x L n v P g V 9 7 e 3 Z 9 I C h r Z y 9 t X n t 7 M 3 0 g K S w y f S Z x d W 9 0 O y w m c X V v d D t T Z W N 0 a W 9 u M S 9 U Y W J s Z T A w M i A o U G F n Z S A 3 K S 9 B d X R v U m V t b 3 Z l Z E N v b H V t b n M x L n t Q K G J h c i k s M 3 0 m c X V v d D s s J n F 1 b 3 Q 7 U 2 V j d G l v b j E v V G F i b G U w M D I g K F B h Z 2 U g N y k v Q X V 0 b 1 J l b W 9 2 Z W R D b 2 x 1 b W 5 z M S 5 7 4 o i G S F 9 7 e 3 Z 9 I F t r S i 9 t b 2 x d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c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3 K S U y M C g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3 K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N y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M T R f Z X h w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c j E 0 X 2 V 4 c F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Z U M j A 6 M T Q 6 N T I u N j g y M j E y M l o i I C 8 + P E V u d H J 5 I F R 5 c G U 9 I k Z p b G x D b 2 x 1 b W 5 U e X B l c y I g V m F s d W U 9 I n N B d 1 V G Q l F V R k J R V U Z C U V V G Q l F V R k J R V U Z C U V V G Q l F V R k J R P T 0 i I C 8 + P E V u d H J 5 I F R 5 c G U 9 I k Z p b G x D b 2 x 1 b W 5 O Y W 1 l c y I g V m F s d W U 9 I n N b J n F 1 b 3 Q 7 V G V t c G V y Y X R 1 c m U g K E s p J n F 1 b 3 Q 7 L C Z x d W 9 0 O 1 B y Z X N z d X J l I C h i Y X I p J n F 1 b 3 Q 7 L C Z x d W 9 0 O 0 R l b n N p d H k g K G w s I G t n L 2 0 z K S Z x d W 9 0 O y w m c X V v d D t W b 2 x 1 b W U g K G w s I G 0 z L 2 t n K S Z x d W 9 0 O y w m c X V v d D t J b n R l c m 5 h b C B F b m V y Z 3 k g K G w s I G t K L 2 1 v b C k m c X V v d D s s J n F 1 b 3 Q 7 R W 5 0 a G F s c H k g K G w s I G t K L 2 1 v b C k m c X V v d D s s J n F 1 b 3 Q 7 R W 5 0 c m 9 w e S A o b C w g S i 9 t b 2 w q S y k m c X V v d D s s J n F 1 b 3 Q 7 Q 3 Y g K G w s I E o v b W 9 s K k s p J n F 1 b 3 Q 7 L C Z x d W 9 0 O 0 N w I C h s L C B K L 2 1 v b C p L K S Z x d W 9 0 O y w m c X V v d D t T b 3 V u Z C B T c G Q u I C h s L C B t L 3 M p J n F 1 b 3 Q 7 L C Z x d W 9 0 O 0 p v d W x l L V R o b 2 1 z b 2 4 g K G w s I E s v Y m F y K S Z x d W 9 0 O y w m c X V v d D t W a X N j b 3 N p d H k g K G w s I H V Q Y S p z K S Z x d W 9 0 O y w m c X V v d D t U a G V y b S 4 g Q 2 9 u Z C 4 g K G w s I F c v b S p L K S Z x d W 9 0 O y w m c X V v d D t T d X J m L i B U Z W 5 z a W 9 u I C h s L C B O L 2 0 p J n F 1 b 3 Q 7 L C Z x d W 9 0 O 0 R l b n N p d H k g K H Y s I G t n L 2 0 z K S Z x d W 9 0 O y w m c X V v d D t W b 2 x 1 b W U g K H Y s I G 0 z L 2 t n K S Z x d W 9 0 O y w m c X V v d D t J b n R l c m 5 h b C B F b m V y Z 3 k g K H Y s I G t K L 2 1 v b C k m c X V v d D s s J n F 1 b 3 Q 7 R W 5 0 a G F s c H k g K H Y s I G t K L 2 1 v b C k m c X V v d D s s J n F 1 b 3 Q 7 R W 5 0 c m 9 w e S A o d i w g S i 9 t b 2 w q S y k m c X V v d D s s J n F 1 b 3 Q 7 Q 3 Y g K H Y s I E o v b W 9 s K k s p J n F 1 b 3 Q 7 L C Z x d W 9 0 O 0 N w I C h 2 L C B K L 2 1 v b C p L K S Z x d W 9 0 O y w m c X V v d D t T b 3 V u Z C B T c G Q u I C h 2 L C B t L 3 M p J n F 1 b 3 Q 7 L C Z x d W 9 0 O 0 p v d W x l L V R o b 2 1 z b 2 4 g K H Y s I E s v Y m F y K S Z x d W 9 0 O y w m c X V v d D t W a X N j b 3 N p d H k g K H Y s I H V Q Y S p z K S Z x d W 9 0 O y w m c X V v d D t U a G V y b S 4 g Q 2 9 u Z C 4 g K H Y s I F c v b S p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M T R f Z X h w X 2 R h d G E v Q X V 0 b 1 J l b W 9 2 Z W R D b 2 x 1 b W 5 z M S 5 7 V G V t c G V y Y X R 1 c m U g K E s p L D B 9 J n F 1 b 3 Q 7 L C Z x d W 9 0 O 1 N l Y 3 R p b 2 4 x L 3 I x N F 9 l e H B f Z G F 0 Y S 9 B d X R v U m V t b 3 Z l Z E N v b H V t b n M x L n t Q c m V z c 3 V y Z S A o Y m F y K S w x f S Z x d W 9 0 O y w m c X V v d D t T Z W N 0 a W 9 u M S 9 y M T R f Z X h w X 2 R h d G E v Q X V 0 b 1 J l b W 9 2 Z W R D b 2 x 1 b W 5 z M S 5 7 R G V u c 2 l 0 e S A o b C w g a 2 c v b T M p L D J 9 J n F 1 b 3 Q 7 L C Z x d W 9 0 O 1 N l Y 3 R p b 2 4 x L 3 I x N F 9 l e H B f Z G F 0 Y S 9 B d X R v U m V t b 3 Z l Z E N v b H V t b n M x L n t W b 2 x 1 b W U g K G w s I G 0 z L 2 t n K S w z f S Z x d W 9 0 O y w m c X V v d D t T Z W N 0 a W 9 u M S 9 y M T R f Z X h w X 2 R h d G E v Q X V 0 b 1 J l b W 9 2 Z W R D b 2 x 1 b W 5 z M S 5 7 S W 5 0 Z X J u Y W w g R W 5 l c m d 5 I C h s L C B r S i 9 t b 2 w p L D R 9 J n F 1 b 3 Q 7 L C Z x d W 9 0 O 1 N l Y 3 R p b 2 4 x L 3 I x N F 9 l e H B f Z G F 0 Y S 9 B d X R v U m V t b 3 Z l Z E N v b H V t b n M x L n t F b n R o Y W x w e S A o b C w g a 0 o v b W 9 s K S w 1 f S Z x d W 9 0 O y w m c X V v d D t T Z W N 0 a W 9 u M S 9 y M T R f Z X h w X 2 R h d G E v Q X V 0 b 1 J l b W 9 2 Z W R D b 2 x 1 b W 5 z M S 5 7 R W 5 0 c m 9 w e S A o b C w g S i 9 t b 2 w q S y k s N n 0 m c X V v d D s s J n F 1 b 3 Q 7 U 2 V j d G l v b j E v c j E 0 X 2 V 4 c F 9 k Y X R h L 0 F 1 d G 9 S Z W 1 v d m V k Q 2 9 s d W 1 u c z E u e 0 N 2 I C h s L C B K L 2 1 v b C p L K S w 3 f S Z x d W 9 0 O y w m c X V v d D t T Z W N 0 a W 9 u M S 9 y M T R f Z X h w X 2 R h d G E v Q X V 0 b 1 J l b W 9 2 Z W R D b 2 x 1 b W 5 z M S 5 7 Q 3 A g K G w s I E o v b W 9 s K k s p L D h 9 J n F 1 b 3 Q 7 L C Z x d W 9 0 O 1 N l Y 3 R p b 2 4 x L 3 I x N F 9 l e H B f Z G F 0 Y S 9 B d X R v U m V t b 3 Z l Z E N v b H V t b n M x L n t T b 3 V u Z C B T c G Q u I C h s L C B t L 3 M p L D l 9 J n F 1 b 3 Q 7 L C Z x d W 9 0 O 1 N l Y 3 R p b 2 4 x L 3 I x N F 9 l e H B f Z G F 0 Y S 9 B d X R v U m V t b 3 Z l Z E N v b H V t b n M x L n t K b 3 V s Z S 1 U a G 9 t c 2 9 u I C h s L C B L L 2 J h c i k s M T B 9 J n F 1 b 3 Q 7 L C Z x d W 9 0 O 1 N l Y 3 R p b 2 4 x L 3 I x N F 9 l e H B f Z G F 0 Y S 9 B d X R v U m V t b 3 Z l Z E N v b H V t b n M x L n t W a X N j b 3 N p d H k g K G w s I H V Q Y S p z K S w x M X 0 m c X V v d D s s J n F 1 b 3 Q 7 U 2 V j d G l v b j E v c j E 0 X 2 V 4 c F 9 k Y X R h L 0 F 1 d G 9 S Z W 1 v d m V k Q 2 9 s d W 1 u c z E u e 1 R o Z X J t L i B D b 2 5 k L i A o b C w g V y 9 t K k s p L D E y f S Z x d W 9 0 O y w m c X V v d D t T Z W N 0 a W 9 u M S 9 y M T R f Z X h w X 2 R h d G E v Q X V 0 b 1 J l b W 9 2 Z W R D b 2 x 1 b W 5 z M S 5 7 U 3 V y Z i 4 g V G V u c 2 l v b i A o b C w g T i 9 t K S w x M 3 0 m c X V v d D s s J n F 1 b 3 Q 7 U 2 V j d G l v b j E v c j E 0 X 2 V 4 c F 9 k Y X R h L 0 F 1 d G 9 S Z W 1 v d m V k Q 2 9 s d W 1 u c z E u e 0 R l b n N p d H k g K H Y s I G t n L 2 0 z K S w x N H 0 m c X V v d D s s J n F 1 b 3 Q 7 U 2 V j d G l v b j E v c j E 0 X 2 V 4 c F 9 k Y X R h L 0 F 1 d G 9 S Z W 1 v d m V k Q 2 9 s d W 1 u c z E u e 1 Z v b H V t Z S A o d i w g b T M v a 2 c p L D E 1 f S Z x d W 9 0 O y w m c X V v d D t T Z W N 0 a W 9 u M S 9 y M T R f Z X h w X 2 R h d G E v Q X V 0 b 1 J l b W 9 2 Z W R D b 2 x 1 b W 5 z M S 5 7 S W 5 0 Z X J u Y W w g R W 5 l c m d 5 I C h 2 L C B r S i 9 t b 2 w p L D E 2 f S Z x d W 9 0 O y w m c X V v d D t T Z W N 0 a W 9 u M S 9 y M T R f Z X h w X 2 R h d G E v Q X V 0 b 1 J l b W 9 2 Z W R D b 2 x 1 b W 5 z M S 5 7 R W 5 0 a G F s c H k g K H Y s I G t K L 2 1 v b C k s M T d 9 J n F 1 b 3 Q 7 L C Z x d W 9 0 O 1 N l Y 3 R p b 2 4 x L 3 I x N F 9 l e H B f Z G F 0 Y S 9 B d X R v U m V t b 3 Z l Z E N v b H V t b n M x L n t F b n R y b 3 B 5 I C h 2 L C B K L 2 1 v b C p L K S w x O H 0 m c X V v d D s s J n F 1 b 3 Q 7 U 2 V j d G l v b j E v c j E 0 X 2 V 4 c F 9 k Y X R h L 0 F 1 d G 9 S Z W 1 v d m V k Q 2 9 s d W 1 u c z E u e 0 N 2 I C h 2 L C B K L 2 1 v b C p L K S w x O X 0 m c X V v d D s s J n F 1 b 3 Q 7 U 2 V j d G l v b j E v c j E 0 X 2 V 4 c F 9 k Y X R h L 0 F 1 d G 9 S Z W 1 v d m V k Q 2 9 s d W 1 u c z E u e 0 N w I C h 2 L C B K L 2 1 v b C p L K S w y M H 0 m c X V v d D s s J n F 1 b 3 Q 7 U 2 V j d G l v b j E v c j E 0 X 2 V 4 c F 9 k Y X R h L 0 F 1 d G 9 S Z W 1 v d m V k Q 2 9 s d W 1 u c z E u e 1 N v d W 5 k I F N w Z C 4 g K H Y s I G 0 v c y k s M j F 9 J n F 1 b 3 Q 7 L C Z x d W 9 0 O 1 N l Y 3 R p b 2 4 x L 3 I x N F 9 l e H B f Z G F 0 Y S 9 B d X R v U m V t b 3 Z l Z E N v b H V t b n M x L n t K b 3 V s Z S 1 U a G 9 t c 2 9 u I C h 2 L C B L L 2 J h c i k s M j J 9 J n F 1 b 3 Q 7 L C Z x d W 9 0 O 1 N l Y 3 R p b 2 4 x L 3 I x N F 9 l e H B f Z G F 0 Y S 9 B d X R v U m V t b 3 Z l Z E N v b H V t b n M x L n t W a X N j b 3 N p d H k g K H Y s I H V Q Y S p z K S w y M 3 0 m c X V v d D s s J n F 1 b 3 Q 7 U 2 V j d G l v b j E v c j E 0 X 2 V 4 c F 9 k Y X R h L 0 F 1 d G 9 S Z W 1 v d m V k Q 2 9 s d W 1 u c z E u e 1 R o Z X J t L i B D b 2 5 k L i A o d i w g V y 9 t K k s p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c j E 0 X 2 V 4 c F 9 k Y X R h L 0 F 1 d G 9 S Z W 1 v d m V k Q 2 9 s d W 1 u c z E u e 1 R l b X B l c m F 0 d X J l I C h L K S w w f S Z x d W 9 0 O y w m c X V v d D t T Z W N 0 a W 9 u M S 9 y M T R f Z X h w X 2 R h d G E v Q X V 0 b 1 J l b W 9 2 Z W R D b 2 x 1 b W 5 z M S 5 7 U H J l c 3 N 1 c m U g K G J h c i k s M X 0 m c X V v d D s s J n F 1 b 3 Q 7 U 2 V j d G l v b j E v c j E 0 X 2 V 4 c F 9 k Y X R h L 0 F 1 d G 9 S Z W 1 v d m V k Q 2 9 s d W 1 u c z E u e 0 R l b n N p d H k g K G w s I G t n L 2 0 z K S w y f S Z x d W 9 0 O y w m c X V v d D t T Z W N 0 a W 9 u M S 9 y M T R f Z X h w X 2 R h d G E v Q X V 0 b 1 J l b W 9 2 Z W R D b 2 x 1 b W 5 z M S 5 7 V m 9 s d W 1 l I C h s L C B t M y 9 r Z y k s M 3 0 m c X V v d D s s J n F 1 b 3 Q 7 U 2 V j d G l v b j E v c j E 0 X 2 V 4 c F 9 k Y X R h L 0 F 1 d G 9 S Z W 1 v d m V k Q 2 9 s d W 1 u c z E u e 0 l u d G V y b m F s I E V u Z X J n e S A o b C w g a 0 o v b W 9 s K S w 0 f S Z x d W 9 0 O y w m c X V v d D t T Z W N 0 a W 9 u M S 9 y M T R f Z X h w X 2 R h d G E v Q X V 0 b 1 J l b W 9 2 Z W R D b 2 x 1 b W 5 z M S 5 7 R W 5 0 a G F s c H k g K G w s I G t K L 2 1 v b C k s N X 0 m c X V v d D s s J n F 1 b 3 Q 7 U 2 V j d G l v b j E v c j E 0 X 2 V 4 c F 9 k Y X R h L 0 F 1 d G 9 S Z W 1 v d m V k Q 2 9 s d W 1 u c z E u e 0 V u d H J v c H k g K G w s I E o v b W 9 s K k s p L D Z 9 J n F 1 b 3 Q 7 L C Z x d W 9 0 O 1 N l Y 3 R p b 2 4 x L 3 I x N F 9 l e H B f Z G F 0 Y S 9 B d X R v U m V t b 3 Z l Z E N v b H V t b n M x L n t D d i A o b C w g S i 9 t b 2 w q S y k s N 3 0 m c X V v d D s s J n F 1 b 3 Q 7 U 2 V j d G l v b j E v c j E 0 X 2 V 4 c F 9 k Y X R h L 0 F 1 d G 9 S Z W 1 v d m V k Q 2 9 s d W 1 u c z E u e 0 N w I C h s L C B K L 2 1 v b C p L K S w 4 f S Z x d W 9 0 O y w m c X V v d D t T Z W N 0 a W 9 u M S 9 y M T R f Z X h w X 2 R h d G E v Q X V 0 b 1 J l b W 9 2 Z W R D b 2 x 1 b W 5 z M S 5 7 U 2 9 1 b m Q g U 3 B k L i A o b C w g b S 9 z K S w 5 f S Z x d W 9 0 O y w m c X V v d D t T Z W N 0 a W 9 u M S 9 y M T R f Z X h w X 2 R h d G E v Q X V 0 b 1 J l b W 9 2 Z W R D b 2 x 1 b W 5 z M S 5 7 S m 9 1 b G U t V G h v b X N v b i A o b C w g S y 9 i Y X I p L D E w f S Z x d W 9 0 O y w m c X V v d D t T Z W N 0 a W 9 u M S 9 y M T R f Z X h w X 2 R h d G E v Q X V 0 b 1 J l b W 9 2 Z W R D b 2 x 1 b W 5 z M S 5 7 V m l z Y 2 9 z a X R 5 I C h s L C B 1 U G E q c y k s M T F 9 J n F 1 b 3 Q 7 L C Z x d W 9 0 O 1 N l Y 3 R p b 2 4 x L 3 I x N F 9 l e H B f Z G F 0 Y S 9 B d X R v U m V t b 3 Z l Z E N v b H V t b n M x L n t U a G V y b S 4 g Q 2 9 u Z C 4 g K G w s I F c v b S p L K S w x M n 0 m c X V v d D s s J n F 1 b 3 Q 7 U 2 V j d G l v b j E v c j E 0 X 2 V 4 c F 9 k Y X R h L 0 F 1 d G 9 S Z W 1 v d m V k Q 2 9 s d W 1 u c z E u e 1 N 1 c m Y u I F R l b n N p b 2 4 g K G w s I E 4 v b S k s M T N 9 J n F 1 b 3 Q 7 L C Z x d W 9 0 O 1 N l Y 3 R p b 2 4 x L 3 I x N F 9 l e H B f Z G F 0 Y S 9 B d X R v U m V t b 3 Z l Z E N v b H V t b n M x L n t E Z W 5 z a X R 5 I C h 2 L C B r Z y 9 t M y k s M T R 9 J n F 1 b 3 Q 7 L C Z x d W 9 0 O 1 N l Y 3 R p b 2 4 x L 3 I x N F 9 l e H B f Z G F 0 Y S 9 B d X R v U m V t b 3 Z l Z E N v b H V t b n M x L n t W b 2 x 1 b W U g K H Y s I G 0 z L 2 t n K S w x N X 0 m c X V v d D s s J n F 1 b 3 Q 7 U 2 V j d G l v b j E v c j E 0 X 2 V 4 c F 9 k Y X R h L 0 F 1 d G 9 S Z W 1 v d m V k Q 2 9 s d W 1 u c z E u e 0 l u d G V y b m F s I E V u Z X J n e S A o d i w g a 0 o v b W 9 s K S w x N n 0 m c X V v d D s s J n F 1 b 3 Q 7 U 2 V j d G l v b j E v c j E 0 X 2 V 4 c F 9 k Y X R h L 0 F 1 d G 9 S Z W 1 v d m V k Q 2 9 s d W 1 u c z E u e 0 V u d G h h b H B 5 I C h 2 L C B r S i 9 t b 2 w p L D E 3 f S Z x d W 9 0 O y w m c X V v d D t T Z W N 0 a W 9 u M S 9 y M T R f Z X h w X 2 R h d G E v Q X V 0 b 1 J l b W 9 2 Z W R D b 2 x 1 b W 5 z M S 5 7 R W 5 0 c m 9 w e S A o d i w g S i 9 t b 2 w q S y k s M T h 9 J n F 1 b 3 Q 7 L C Z x d W 9 0 O 1 N l Y 3 R p b 2 4 x L 3 I x N F 9 l e H B f Z G F 0 Y S 9 B d X R v U m V t b 3 Z l Z E N v b H V t b n M x L n t D d i A o d i w g S i 9 t b 2 w q S y k s M T l 9 J n F 1 b 3 Q 7 L C Z x d W 9 0 O 1 N l Y 3 R p b 2 4 x L 3 I x N F 9 l e H B f Z G F 0 Y S 9 B d X R v U m V t b 3 Z l Z E N v b H V t b n M x L n t D c C A o d i w g S i 9 t b 2 w q S y k s M j B 9 J n F 1 b 3 Q 7 L C Z x d W 9 0 O 1 N l Y 3 R p b 2 4 x L 3 I x N F 9 l e H B f Z G F 0 Y S 9 B d X R v U m V t b 3 Z l Z E N v b H V t b n M x L n t T b 3 V u Z C B T c G Q u I C h 2 L C B t L 3 M p L D I x f S Z x d W 9 0 O y w m c X V v d D t T Z W N 0 a W 9 u M S 9 y M T R f Z X h w X 2 R h d G E v Q X V 0 b 1 J l b W 9 2 Z W R D b 2 x 1 b W 5 z M S 5 7 S m 9 1 b G U t V G h v b X N v b i A o d i w g S y 9 i Y X I p L D I y f S Z x d W 9 0 O y w m c X V v d D t T Z W N 0 a W 9 u M S 9 y M T R f Z X h w X 2 R h d G E v Q X V 0 b 1 J l b W 9 2 Z W R D b 2 x 1 b W 5 z M S 5 7 V m l z Y 2 9 z a X R 5 I C h 2 L C B 1 U G E q c y k s M j N 9 J n F 1 b 3 Q 7 L C Z x d W 9 0 O 1 N l Y 3 R p b 2 4 x L 3 I x N F 9 l e H B f Z G F 0 Y S 9 B d X R v U m V t b 3 Z l Z E N v b H V t b n M x L n t U a G V y b S 4 g Q 2 9 u Z C 4 g K H Y s I F c v b S p L K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I x N F 9 l e H B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M T R f Z X h w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E 0 X 2 V 4 c F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/ C 8 F J T l b J O g m o u i 8 6 g z r M A A A A A A g A A A A A A E G Y A A A A B A A A g A A A A 2 K Z Q q Y e 7 4 e A F + h E d 9 h e v l f a E j V M O U t j p v B 1 h 0 5 Q P f m c A A A A A D o A A A A A C A A A g A A A A v f x y W 8 E P D / S R g M e A X N X c B K p o h X 6 A W i v 9 v X w q Z x D s J 9 l Q A A A A P U c L T 9 4 c r w s 8 S x L c X G l y x k p u m k d F H 3 l 6 n 0 Q s 8 a 9 p D c Y K E z 5 u I 0 S h A b R 5 W u Q X X 2 p R b y C 9 e 9 L 0 K m o 4 w S t f 8 r J w p F I / L i I s X U u w 2 w U n G t e K m o F A A A A A p I y 7 c / Q z l f h 7 7 U z J r d 5 a A O H P B G s p b y O W 7 f R k + L C + j r H M m 1 + l N G K M v y d n h d L b G 0 e J p O 3 u Z D r U Q I x P D A + r X M q k p w = = < / D a t a M a s h u p > 
</file>

<file path=customXml/itemProps1.xml><?xml version="1.0" encoding="utf-8"?>
<ds:datastoreItem xmlns:ds="http://schemas.openxmlformats.org/officeDocument/2006/customXml" ds:itemID="{312B47AD-4779-47E7-85CE-9DD1EEFBCB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r50 (me)</vt:lpstr>
      <vt:lpstr>r170 (Et)</vt:lpstr>
      <vt:lpstr>r14</vt:lpstr>
      <vt:lpstr>r14_exp_data</vt:lpstr>
      <vt:lpstr>r50_Trappe</vt:lpstr>
      <vt:lpstr>r170_Trappe</vt:lpstr>
      <vt:lpstr>MAPE_Final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 Carlozo</dc:creator>
  <cp:lastModifiedBy>Wang, Ning</cp:lastModifiedBy>
  <dcterms:created xsi:type="dcterms:W3CDTF">2022-12-06T19:00:04Z</dcterms:created>
  <dcterms:modified xsi:type="dcterms:W3CDTF">2022-12-07T01:30:04Z</dcterms:modified>
</cp:coreProperties>
</file>