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\Desktop\Me\Dowlinglab\CO2_IL\extractive-distillation2\diagrams\"/>
    </mc:Choice>
  </mc:AlternateContent>
  <xr:revisionPtr revIDLastSave="0" documentId="13_ncr:1_{DA099B9D-8C8F-43A9-A480-486D192E37C8}" xr6:coauthVersionLast="47" xr6:coauthVersionMax="47" xr10:uidLastSave="{00000000-0000-0000-0000-000000000000}"/>
  <bookViews>
    <workbookView xWindow="-108" yWindow="-108" windowWidth="23256" windowHeight="12576" activeTab="1" xr2:uid="{B2BB4C00-246E-435D-BD73-50853059C512}"/>
  </bookViews>
  <sheets>
    <sheet name="Sheet1" sheetId="1" r:id="rId1"/>
    <sheet name="Chart1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2" l="1"/>
  <c r="N32" i="2"/>
  <c r="Q32" i="2"/>
  <c r="L29" i="2"/>
  <c r="L30" i="2"/>
  <c r="Q29" i="2"/>
  <c r="D35" i="2"/>
  <c r="H45" i="2"/>
  <c r="H46" i="2"/>
  <c r="H47" i="2"/>
  <c r="H44" i="2"/>
  <c r="M45" i="2"/>
  <c r="M46" i="2"/>
  <c r="M47" i="2"/>
  <c r="M44" i="2"/>
  <c r="L25" i="2"/>
  <c r="M32" i="2"/>
  <c r="P32" i="2"/>
  <c r="M31" i="2"/>
  <c r="L31" i="2"/>
  <c r="M30" i="2"/>
  <c r="M29" i="2"/>
  <c r="M28" i="2"/>
  <c r="L28" i="2"/>
  <c r="I28" i="2"/>
  <c r="H28" i="2"/>
  <c r="M27" i="2"/>
  <c r="L27" i="2"/>
  <c r="P27" i="2" s="1"/>
  <c r="I27" i="2"/>
  <c r="H27" i="2"/>
  <c r="M26" i="2"/>
  <c r="L26" i="2"/>
  <c r="P26" i="2" s="1"/>
  <c r="I26" i="2"/>
  <c r="H26" i="2"/>
  <c r="M25" i="2"/>
  <c r="N25" i="2" s="1"/>
  <c r="Q25" i="2" s="1"/>
  <c r="P25" i="2"/>
  <c r="I25" i="2"/>
  <c r="H25" i="2"/>
  <c r="J17" i="2"/>
  <c r="L17" i="2" s="1"/>
  <c r="I17" i="2"/>
  <c r="K17" i="2" s="1"/>
  <c r="M17" i="2" s="1"/>
  <c r="H17" i="2"/>
  <c r="J16" i="2"/>
  <c r="L16" i="2" s="1"/>
  <c r="I16" i="2"/>
  <c r="K16" i="2" s="1"/>
  <c r="H16" i="2"/>
  <c r="J15" i="2"/>
  <c r="L15" i="2" s="1"/>
  <c r="I15" i="2"/>
  <c r="K15" i="2" s="1"/>
  <c r="H15" i="2"/>
  <c r="J14" i="2"/>
  <c r="L14" i="2" s="1"/>
  <c r="I14" i="2"/>
  <c r="K14" i="2" s="1"/>
  <c r="H14" i="2"/>
  <c r="J13" i="2"/>
  <c r="L13" i="2" s="1"/>
  <c r="I13" i="2"/>
  <c r="K13" i="2" s="1"/>
  <c r="M13" i="2" s="1"/>
  <c r="H13" i="2"/>
  <c r="J8" i="2"/>
  <c r="L8" i="2" s="1"/>
  <c r="I8" i="2"/>
  <c r="K8" i="2" s="1"/>
  <c r="H8" i="2"/>
  <c r="J7" i="2"/>
  <c r="L7" i="2" s="1"/>
  <c r="I7" i="2"/>
  <c r="K7" i="2" s="1"/>
  <c r="H7" i="2"/>
  <c r="J6" i="2"/>
  <c r="L6" i="2" s="1"/>
  <c r="I6" i="2"/>
  <c r="K6" i="2" s="1"/>
  <c r="H6" i="2"/>
  <c r="J5" i="2"/>
  <c r="L5" i="2" s="1"/>
  <c r="I5" i="2"/>
  <c r="K5" i="2" s="1"/>
  <c r="M5" i="2" s="1"/>
  <c r="H5" i="2"/>
  <c r="J4" i="2"/>
  <c r="L4" i="2" s="1"/>
  <c r="I4" i="2"/>
  <c r="K4" i="2" s="1"/>
  <c r="H4" i="2"/>
  <c r="Q19" i="1"/>
  <c r="R19" i="1"/>
  <c r="S19" i="1"/>
  <c r="T19" i="1"/>
  <c r="V19" i="1"/>
  <c r="W19" i="1"/>
  <c r="M19" i="1"/>
  <c r="K19" i="1"/>
  <c r="L19" i="1"/>
  <c r="S33" i="1"/>
  <c r="S32" i="1"/>
  <c r="X23" i="1"/>
  <c r="P20" i="1"/>
  <c r="P21" i="1"/>
  <c r="P22" i="1"/>
  <c r="P23" i="1"/>
  <c r="P19" i="1"/>
  <c r="Q20" i="1"/>
  <c r="Q21" i="1"/>
  <c r="Q22" i="1"/>
  <c r="Q23" i="1"/>
  <c r="Y20" i="1"/>
  <c r="Y21" i="1"/>
  <c r="Y22" i="1"/>
  <c r="Q27" i="1"/>
  <c r="Q26" i="1"/>
  <c r="R27" i="1"/>
  <c r="R26" i="1"/>
  <c r="T27" i="1"/>
  <c r="W27" i="1"/>
  <c r="W26" i="1"/>
  <c r="T26" i="1"/>
  <c r="P10" i="1"/>
  <c r="P11" i="1"/>
  <c r="P12" i="1"/>
  <c r="P13" i="1"/>
  <c r="P14" i="1"/>
  <c r="R12" i="1"/>
  <c r="S12" i="1" s="1"/>
  <c r="T12" i="1" s="1"/>
  <c r="Q10" i="1"/>
  <c r="R10" i="1" s="1"/>
  <c r="S10" i="1" s="1"/>
  <c r="T10" i="1" s="1"/>
  <c r="Q11" i="1"/>
  <c r="R11" i="1" s="1"/>
  <c r="S11" i="1" s="1"/>
  <c r="T11" i="1" s="1"/>
  <c r="Q12" i="1"/>
  <c r="Q13" i="1"/>
  <c r="R13" i="1"/>
  <c r="S13" i="1" s="1"/>
  <c r="T13" i="1" s="1"/>
  <c r="Q14" i="1"/>
  <c r="R14" i="1" s="1"/>
  <c r="S14" i="1" s="1"/>
  <c r="T14" i="1" s="1"/>
  <c r="R22" i="1"/>
  <c r="S22" i="1" s="1"/>
  <c r="T22" i="1" s="1"/>
  <c r="V22" i="1" s="1"/>
  <c r="R20" i="1"/>
  <c r="S20" i="1" s="1"/>
  <c r="T20" i="1" s="1"/>
  <c r="U20" i="1" s="1"/>
  <c r="R21" i="1"/>
  <c r="S21" i="1" s="1"/>
  <c r="T21" i="1" s="1"/>
  <c r="V21" i="1" s="1"/>
  <c r="J20" i="1"/>
  <c r="L20" i="1"/>
  <c r="N19" i="1"/>
  <c r="M10" i="1"/>
  <c r="K10" i="1"/>
  <c r="J14" i="1"/>
  <c r="L14" i="1"/>
  <c r="K11" i="1"/>
  <c r="J11" i="1"/>
  <c r="M11" i="1"/>
  <c r="L11" i="1"/>
  <c r="I11" i="1"/>
  <c r="L10" i="1"/>
  <c r="N10" i="1"/>
  <c r="I10" i="1"/>
  <c r="J19" i="1"/>
  <c r="J21" i="1"/>
  <c r="J22" i="1"/>
  <c r="L22" i="1" s="1"/>
  <c r="J23" i="1"/>
  <c r="L23" i="1" s="1"/>
  <c r="J10" i="1"/>
  <c r="J13" i="1"/>
  <c r="L13" i="1"/>
  <c r="L21" i="1"/>
  <c r="J12" i="1"/>
  <c r="L12" i="1" s="1"/>
  <c r="K13" i="1"/>
  <c r="M13" i="1"/>
  <c r="M12" i="1"/>
  <c r="M14" i="1"/>
  <c r="K20" i="1"/>
  <c r="K21" i="1"/>
  <c r="K22" i="1"/>
  <c r="K23" i="1"/>
  <c r="M23" i="1" s="1"/>
  <c r="K12" i="1"/>
  <c r="K14" i="1"/>
  <c r="I20" i="1"/>
  <c r="I21" i="1"/>
  <c r="I22" i="1"/>
  <c r="I23" i="1"/>
  <c r="I12" i="1"/>
  <c r="I13" i="1"/>
  <c r="I14" i="1"/>
  <c r="I19" i="1"/>
  <c r="M22" i="1"/>
  <c r="M21" i="1"/>
  <c r="M20" i="1"/>
  <c r="M7" i="2" l="1"/>
  <c r="M15" i="2"/>
  <c r="N27" i="2"/>
  <c r="Q27" i="2" s="1"/>
  <c r="N28" i="2"/>
  <c r="Q28" i="2" s="1"/>
  <c r="M6" i="2"/>
  <c r="M14" i="2"/>
  <c r="N29" i="2"/>
  <c r="M4" i="2"/>
  <c r="M8" i="2"/>
  <c r="M16" i="2"/>
  <c r="P30" i="2"/>
  <c r="N30" i="2"/>
  <c r="Q30" i="2" s="1"/>
  <c r="D37" i="2" s="1"/>
  <c r="N26" i="2"/>
  <c r="Q26" i="2" s="1"/>
  <c r="P28" i="2"/>
  <c r="P31" i="2"/>
  <c r="D38" i="2"/>
  <c r="P29" i="2"/>
  <c r="O25" i="2"/>
  <c r="O26" i="2"/>
  <c r="N31" i="2"/>
  <c r="Y23" i="1"/>
  <c r="Y19" i="1"/>
  <c r="R23" i="1"/>
  <c r="S23" i="1" s="1"/>
  <c r="T23" i="1" s="1"/>
  <c r="U14" i="1"/>
  <c r="V14" i="1"/>
  <c r="W14" i="1" s="1"/>
  <c r="U13" i="1"/>
  <c r="V13" i="1"/>
  <c r="W13" i="1" s="1"/>
  <c r="U12" i="1"/>
  <c r="V12" i="1"/>
  <c r="W12" i="1" s="1"/>
  <c r="V11" i="1"/>
  <c r="U11" i="1"/>
  <c r="U10" i="1"/>
  <c r="V10" i="1"/>
  <c r="W10" i="1" s="1"/>
  <c r="V20" i="1"/>
  <c r="U22" i="1"/>
  <c r="U21" i="1"/>
  <c r="W21" i="1" s="1"/>
  <c r="N23" i="1"/>
  <c r="N14" i="1"/>
  <c r="N12" i="1"/>
  <c r="N21" i="1"/>
  <c r="N13" i="1"/>
  <c r="N11" i="1"/>
  <c r="N22" i="1"/>
  <c r="N20" i="1"/>
  <c r="O27" i="2" l="1"/>
  <c r="O30" i="2"/>
  <c r="O32" i="2"/>
  <c r="O28" i="2"/>
  <c r="O29" i="2"/>
  <c r="O31" i="2"/>
  <c r="Q31" i="2"/>
  <c r="D36" i="2" s="1"/>
  <c r="W20" i="1"/>
  <c r="X20" i="1"/>
  <c r="W22" i="1"/>
  <c r="X22" i="1"/>
  <c r="V23" i="1"/>
  <c r="U23" i="1"/>
  <c r="W23" i="1" s="1"/>
  <c r="X21" i="1"/>
  <c r="U19" i="1"/>
  <c r="W11" i="1"/>
  <c r="X19" i="1" l="1"/>
</calcChain>
</file>

<file path=xl/sharedStrings.xml><?xml version="1.0" encoding="utf-8"?>
<sst xmlns="http://schemas.openxmlformats.org/spreadsheetml/2006/main" count="101" uniqueCount="41">
  <si>
    <t xml:space="preserve">MW </t>
  </si>
  <si>
    <t>g/mol</t>
  </si>
  <si>
    <t>bmimpf6</t>
  </si>
  <si>
    <t>Bmim PF6</t>
  </si>
  <si>
    <t>Pressure</t>
  </si>
  <si>
    <t>R-125</t>
  </si>
  <si>
    <t>R-32</t>
  </si>
  <si>
    <t xml:space="preserve"> Adsorption</t>
  </si>
  <si>
    <t>m.ads R-125</t>
  </si>
  <si>
    <t>m.ads R-32</t>
  </si>
  <si>
    <t>kPa</t>
  </si>
  <si>
    <t>Inlet Fraction</t>
  </si>
  <si>
    <t>(mmol/g)</t>
  </si>
  <si>
    <t>Adsorption</t>
  </si>
  <si>
    <t>(g/mol)</t>
  </si>
  <si>
    <t>IL</t>
  </si>
  <si>
    <t>[0.92237487 0.87849677 0.83428289 0.80000012 0.80000002]</t>
  </si>
  <si>
    <t>[1.e-08 1.e-08 1.e-08 1.e-08 1.e-08]</t>
  </si>
  <si>
    <t>[1.47637330e-04 6.41388685e-02 1.28797040e-01 1.81999918e-01</t>
  </si>
  <si>
    <t xml:space="preserve"> 1.97999981e-01]</t>
  </si>
  <si>
    <t>[5.42309942e-04 2.41648758e-01 4.98764958e-01 7.43118695e-01</t>
  </si>
  <si>
    <t xml:space="preserve"> 9.66453918e-01]</t>
  </si>
  <si>
    <t>[0.07747749 0.05736436 0.03692007 0.01799997 0.002     ]</t>
  </si>
  <si>
    <t>[0.99945769 0.75835124 0.50123504 0.25688131 0.03354608]</t>
  </si>
  <si>
    <t xml:space="preserve">    </t>
  </si>
  <si>
    <t>R32</t>
  </si>
  <si>
    <t>R125</t>
  </si>
  <si>
    <t xml:space="preserve"> Absorption</t>
  </si>
  <si>
    <t>Binary Data</t>
  </si>
  <si>
    <t>Ternary Data</t>
  </si>
  <si>
    <t>K</t>
  </si>
  <si>
    <t>P</t>
  </si>
  <si>
    <t>T</t>
  </si>
  <si>
    <t xml:space="preserve">HFC </t>
  </si>
  <si>
    <t>mmol/g</t>
  </si>
  <si>
    <t>mol frac</t>
  </si>
  <si>
    <t>mass frac</t>
  </si>
  <si>
    <t>R-32/IL</t>
  </si>
  <si>
    <t>R-125/IL</t>
  </si>
  <si>
    <t>Prop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</si>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</sst>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0" borderId="1" xfId="0" applyBorder="1"/>
    <xf numFmtId="0" fontId="1" fillId="0" borderId="0" xfId="0" applyFont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6" xfId="0" applyBorder="1"/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/>
    <xf numFmtId="164" fontId="2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/>
    <xf numFmtId="164" fontId="2" fillId="0" borderId="15" xfId="0" applyNumberFormat="1" applyFont="1" applyFill="1" applyBorder="1" applyAlignment="1">
      <alignment horizontal="right" vertical="center"/>
    </xf>
    <xf numFmtId="164" fontId="2" fillId="0" borderId="16" xfId="0" applyNumberFormat="1" applyFont="1" applyFill="1" applyBorder="1" applyAlignment="1">
      <alignment horizontal="right" vertical="center" wrapText="1"/>
    </xf>
    <xf numFmtId="164" fontId="2" fillId="0" borderId="10" xfId="0" applyNumberFormat="1" applyFont="1" applyFill="1" applyBorder="1" applyAlignment="1">
      <alignment horizontal="right" vertical="center"/>
    </xf>
    <xf numFmtId="164" fontId="2" fillId="0" borderId="11" xfId="0" applyNumberFormat="1" applyFont="1" applyFill="1" applyBorder="1" applyAlignment="1">
      <alignment horizontal="right" vertical="center"/>
    </xf>
    <xf numFmtId="164" fontId="0" fillId="0" borderId="11" xfId="0" applyNumberFormat="1" applyBorder="1"/>
    <xf numFmtId="164" fontId="2" fillId="0" borderId="12" xfId="0" applyNumberFormat="1" applyFont="1" applyFill="1" applyBorder="1" applyAlignment="1">
      <alignment horizontal="right" vertical="center" wrapText="1"/>
    </xf>
    <xf numFmtId="164" fontId="0" fillId="0" borderId="16" xfId="0" applyNumberFormat="1" applyFill="1" applyBorder="1"/>
    <xf numFmtId="164" fontId="0" fillId="0" borderId="12" xfId="0" applyNumberFormat="1" applyFill="1" applyBorder="1"/>
    <xf numFmtId="0" fontId="2" fillId="0" borderId="19" xfId="0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right" vertical="center"/>
    </xf>
    <xf numFmtId="0" fontId="2" fillId="0" borderId="20" xfId="0" applyFont="1" applyFill="1" applyBorder="1" applyAlignment="1">
      <alignment horizontal="right" vertical="center"/>
    </xf>
    <xf numFmtId="0" fontId="0" fillId="0" borderId="5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/>
    <xf numFmtId="0" fontId="2" fillId="0" borderId="21" xfId="0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right" vertical="center"/>
    </xf>
    <xf numFmtId="164" fontId="2" fillId="0" borderId="13" xfId="0" applyNumberFormat="1" applyFont="1" applyFill="1" applyBorder="1" applyAlignment="1">
      <alignment horizontal="right" vertical="center"/>
    </xf>
    <xf numFmtId="164" fontId="2" fillId="0" borderId="9" xfId="0" applyNumberFormat="1" applyFont="1" applyFill="1" applyBorder="1" applyAlignment="1">
      <alignment horizontal="right" vertical="center"/>
    </xf>
    <xf numFmtId="164" fontId="0" fillId="0" borderId="9" xfId="0" applyNumberFormat="1" applyBorder="1"/>
    <xf numFmtId="164" fontId="0" fillId="0" borderId="14" xfId="0" applyNumberFormat="1" applyFill="1" applyBorder="1"/>
    <xf numFmtId="164" fontId="2" fillId="0" borderId="14" xfId="0" applyNumberFormat="1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2" borderId="34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[bmim][PF6]</a:t>
            </a:r>
            <a:r>
              <a:rPr lang="en-US" baseline="0">
                <a:solidFill>
                  <a:schemeClr val="tx1"/>
                </a:solidFill>
              </a:rPr>
              <a:t> @ 25C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kPa total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Sheet2!$B$13:$B$17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Sheet2!$D$13:$D$17</c:f>
              <c:numCache>
                <c:formatCode>General</c:formatCode>
                <c:ptCount val="5"/>
                <c:pt idx="0">
                  <c:v>0.34079999999999999</c:v>
                </c:pt>
                <c:pt idx="1">
                  <c:v>0.28000000000000003</c:v>
                </c:pt>
                <c:pt idx="2">
                  <c:v>0.21609999999999999</c:v>
                </c:pt>
                <c:pt idx="3">
                  <c:v>0.155</c:v>
                </c:pt>
                <c:pt idx="4">
                  <c:v>9.5299999999999996E-2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7-4AF6-B87B-03C8D5F4807F}"/>
            </c:ext>
          </c:extLst>
        </c:ser>
        <c:ser>
          <c:idx val="1"/>
          <c:order val="1"/>
          <c:tx>
            <c:v>100 kPa R-125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Sheet2!$B$13:$B$17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Sheet2!$E$13:$E$17</c:f>
              <c:numCache>
                <c:formatCode>General</c:formatCode>
                <c:ptCount val="5"/>
                <c:pt idx="0">
                  <c:v>0</c:v>
                </c:pt>
                <c:pt idx="1">
                  <c:v>2.2100000000000002E-2</c:v>
                </c:pt>
                <c:pt idx="2">
                  <c:v>4.7100000000000003E-2</c:v>
                </c:pt>
                <c:pt idx="3">
                  <c:v>7.1400000000000005E-2</c:v>
                </c:pt>
                <c:pt idx="4">
                  <c:v>9.5500000000000002E-2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7-4AF6-B87B-03C8D5F4807F}"/>
            </c:ext>
          </c:extLst>
        </c:ser>
        <c:ser>
          <c:idx val="2"/>
          <c:order val="2"/>
          <c:tx>
            <c:v>100 kPa R-32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>
                    <a:alpha val="95000"/>
                  </a:srgbClr>
                </a:solidFill>
              </a:ln>
              <a:effectLst/>
            </c:spPr>
          </c:marker>
          <c:xVal>
            <c:numRef>
              <c:f>Sheet2!$B$13:$B$17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Sheet2!$F$13:$F$17</c:f>
              <c:numCache>
                <c:formatCode>General</c:formatCode>
                <c:ptCount val="5"/>
                <c:pt idx="0">
                  <c:v>0.34050000000000002</c:v>
                </c:pt>
                <c:pt idx="1">
                  <c:v>0.2576</c:v>
                </c:pt>
                <c:pt idx="2">
                  <c:v>0.16869999999999999</c:v>
                </c:pt>
                <c:pt idx="3">
                  <c:v>8.3500000000000005E-2</c:v>
                </c:pt>
                <c:pt idx="4" formatCode="0.00E+0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27-4AF6-B87B-03C8D5F4807F}"/>
            </c:ext>
          </c:extLst>
        </c:ser>
        <c:ser>
          <c:idx val="3"/>
          <c:order val="3"/>
          <c:tx>
            <c:v>250 kPa Total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Sheet2!$B$4:$B$8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Sheet2!$D$4:$D$8</c:f>
              <c:numCache>
                <c:formatCode>General</c:formatCode>
                <c:ptCount val="5"/>
                <c:pt idx="0">
                  <c:v>0.86939999999999995</c:v>
                </c:pt>
                <c:pt idx="1">
                  <c:v>0.71740000000000004</c:v>
                </c:pt>
                <c:pt idx="2">
                  <c:v>0.56899999999999895</c:v>
                </c:pt>
                <c:pt idx="3">
                  <c:v>0.43090000000000001</c:v>
                </c:pt>
                <c:pt idx="4">
                  <c:v>0.27339999999999998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7-4AF6-B87B-03C8D5F4807F}"/>
            </c:ext>
          </c:extLst>
        </c:ser>
        <c:ser>
          <c:idx val="4"/>
          <c:order val="4"/>
          <c:tx>
            <c:v>250 kPa R125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6350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Sheet2!$B$4:$B$8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Sheet2!$E$4:$E$8</c:f>
              <c:numCache>
                <c:formatCode>General</c:formatCode>
                <c:ptCount val="5"/>
                <c:pt idx="0">
                  <c:v>0</c:v>
                </c:pt>
                <c:pt idx="1">
                  <c:v>6.3E-2</c:v>
                </c:pt>
                <c:pt idx="2">
                  <c:v>0.12529999999999999</c:v>
                </c:pt>
                <c:pt idx="3">
                  <c:v>0.1857</c:v>
                </c:pt>
                <c:pt idx="4">
                  <c:v>0.27279999999999999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27-4AF6-B87B-03C8D5F4807F}"/>
            </c:ext>
          </c:extLst>
        </c:ser>
        <c:ser>
          <c:idx val="5"/>
          <c:order val="5"/>
          <c:tx>
            <c:v>250 kPa R-32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Sheet2!$B$4:$B$8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Sheet2!$F$4:$F$8</c:f>
              <c:numCache>
                <c:formatCode>General</c:formatCode>
                <c:ptCount val="5"/>
                <c:pt idx="0">
                  <c:v>0.86839999999999995</c:v>
                </c:pt>
                <c:pt idx="1">
                  <c:v>0.65349999999999997</c:v>
                </c:pt>
                <c:pt idx="2">
                  <c:v>0.44180000000000003</c:v>
                </c:pt>
                <c:pt idx="3">
                  <c:v>0.2445</c:v>
                </c:pt>
                <c:pt idx="4" formatCode="0.00E+00">
                  <c:v>-2.99999999999999E-4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7-4AF6-B87B-03C8D5F4807F}"/>
            </c:ext>
          </c:extLst>
        </c:ser>
        <c:ser>
          <c:idx val="6"/>
          <c:order val="6"/>
          <c:tx>
            <c:v>KU data 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Sheet2!$C$35:$C$36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Sheet2!$D$35:$D$36</c:f>
              <c:numCache>
                <c:formatCode>General</c:formatCode>
                <c:ptCount val="2"/>
                <c:pt idx="0">
                  <c:v>0.28674020054555582</c:v>
                </c:pt>
                <c:pt idx="1">
                  <c:v>8.5562741265094042E-2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27-4AF6-B87B-03C8D5F4807F}"/>
            </c:ext>
          </c:extLst>
        </c:ser>
        <c:ser>
          <c:idx val="7"/>
          <c:order val="7"/>
          <c:tx>
            <c:v>KU data 250 kPa</c:v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0000">
                  <a:alpha val="97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Sheet2!$C$37:$C$38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Sheet2!$D$37:$D$38</c:f>
              <c:numCache>
                <c:formatCode>General</c:formatCode>
                <c:ptCount val="2"/>
                <c:pt idx="0">
                  <c:v>0.74255493120599314</c:v>
                </c:pt>
                <c:pt idx="1">
                  <c:v>0.22255103440493551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7-4AF6-B87B-03C8D5F4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01768"/>
        <c:axId val="707800784"/>
      </c:scatterChart>
      <c:valAx>
        <c:axId val="7078017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R-125 Inlet Mole</a:t>
                </a:r>
                <a:r>
                  <a:rPr lang="en-US" baseline="0">
                    <a:solidFill>
                      <a:schemeClr val="tx1"/>
                    </a:solidFill>
                  </a:rPr>
                  <a:t> Fraction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0784"/>
        <c:crossesAt val="-0.1"/>
        <c:crossBetween val="midCat"/>
      </c:valAx>
      <c:valAx>
        <c:axId val="707800784"/>
        <c:scaling>
          <c:orientation val="minMax"/>
          <c:max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Absoprtion (mmol/g)</a:t>
                </a:r>
              </a:p>
            </c:rich>
          </c:tx>
          <c:layout>
            <c:manualLayout>
              <c:xMode val="edge"/>
              <c:yMode val="edge"/>
              <c:x val="3.9834289356277884E-2"/>
              <c:y val="0.3853744266536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17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B4C70-078C-4573-A358-112A00F06329}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7F25F-B675-42AE-883B-7727169E02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49E0-49EE-4ED4-B757-4B3C7918848A}">
  <dimension ref="B4:Y33"/>
  <sheetViews>
    <sheetView topLeftCell="C1" workbookViewId="0">
      <selection activeCell="B7" sqref="B7:N23"/>
    </sheetView>
  </sheetViews>
  <sheetFormatPr defaultRowHeight="14.4" x14ac:dyDescent="0.3"/>
  <cols>
    <col min="3" max="3" width="13.88671875" customWidth="1"/>
    <col min="5" max="5" width="11.33203125" bestFit="1" customWidth="1"/>
    <col min="6" max="6" width="11.5546875" bestFit="1" customWidth="1"/>
    <col min="7" max="7" width="10.5546875" bestFit="1" customWidth="1"/>
    <col min="13" max="13" width="12" bestFit="1" customWidth="1"/>
  </cols>
  <sheetData>
    <row r="4" spans="2:23" x14ac:dyDescent="0.3">
      <c r="C4" t="s">
        <v>2</v>
      </c>
    </row>
    <row r="5" spans="2:23" x14ac:dyDescent="0.3">
      <c r="B5" t="s">
        <v>0</v>
      </c>
      <c r="C5">
        <v>284.18</v>
      </c>
      <c r="D5" t="s">
        <v>1</v>
      </c>
    </row>
    <row r="7" spans="2:23" x14ac:dyDescent="0.3">
      <c r="B7" s="44" t="s">
        <v>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2:23" x14ac:dyDescent="0.3"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15</v>
      </c>
      <c r="I8" s="3"/>
      <c r="J8" s="3"/>
      <c r="K8" s="3"/>
      <c r="L8" s="3"/>
      <c r="M8" s="3"/>
      <c r="N8" s="3"/>
    </row>
    <row r="9" spans="2:23" x14ac:dyDescent="0.3">
      <c r="B9" s="1" t="s">
        <v>10</v>
      </c>
      <c r="C9" s="1" t="s">
        <v>11</v>
      </c>
      <c r="D9" s="1" t="s">
        <v>11</v>
      </c>
      <c r="E9" s="1" t="s">
        <v>12</v>
      </c>
      <c r="F9" s="1" t="s">
        <v>12</v>
      </c>
      <c r="G9" s="1" t="s">
        <v>12</v>
      </c>
      <c r="H9" s="1" t="s">
        <v>14</v>
      </c>
      <c r="I9" s="3"/>
      <c r="J9" s="3"/>
      <c r="K9" s="3"/>
      <c r="L9" s="3"/>
      <c r="M9" s="3"/>
      <c r="N9" s="3"/>
    </row>
    <row r="10" spans="2:23" x14ac:dyDescent="0.3">
      <c r="B10" s="1">
        <v>250</v>
      </c>
      <c r="C10" s="1">
        <v>0</v>
      </c>
      <c r="D10" s="1">
        <v>1</v>
      </c>
      <c r="E10" s="1">
        <v>0.86939999999999995</v>
      </c>
      <c r="F10" s="1">
        <v>0</v>
      </c>
      <c r="G10" s="1">
        <v>0.86839999999999995</v>
      </c>
      <c r="H10" s="3">
        <v>284.18</v>
      </c>
      <c r="I10" s="3">
        <f>E10*H10</f>
        <v>247.066092</v>
      </c>
      <c r="J10" s="3">
        <f>F10*H10</f>
        <v>0</v>
      </c>
      <c r="K10" s="3">
        <f>G10*H10</f>
        <v>246.78191200000001</v>
      </c>
      <c r="L10" s="3">
        <f>J10/1000</f>
        <v>0</v>
      </c>
      <c r="M10" s="3">
        <f>K10/1000</f>
        <v>0.24678191199999999</v>
      </c>
      <c r="N10" s="3">
        <f>1-L10-M10</f>
        <v>0.75321808800000001</v>
      </c>
      <c r="P10">
        <f t="shared" ref="P10:P14" si="0">F10*120/1000</f>
        <v>0</v>
      </c>
      <c r="Q10">
        <f t="shared" ref="Q10:Q14" si="1">G10*52/1000</f>
        <v>4.5156799999999997E-2</v>
      </c>
      <c r="R10">
        <f t="shared" ref="R10:R14" si="2">1-Q10-P10</f>
        <v>0.9548432</v>
      </c>
      <c r="S10">
        <f t="shared" ref="S10:S14" si="3">R10/284*1000</f>
        <v>3.3621239436619716</v>
      </c>
      <c r="T10">
        <f t="shared" ref="T10:T14" si="4">S10+G10</f>
        <v>4.2305239436619715</v>
      </c>
      <c r="U10">
        <f t="shared" ref="U10:U14" si="5">F10/T10</f>
        <v>0</v>
      </c>
      <c r="V10">
        <f t="shared" ref="V10:V14" si="6">G10/T10</f>
        <v>0.20527008275204484</v>
      </c>
      <c r="W10">
        <f t="shared" ref="W10:W14" si="7">1-V10-U10</f>
        <v>0.79472991724795516</v>
      </c>
    </row>
    <row r="11" spans="2:23" x14ac:dyDescent="0.3">
      <c r="B11" s="1">
        <v>250</v>
      </c>
      <c r="C11" s="1">
        <v>0.25</v>
      </c>
      <c r="D11" s="1">
        <v>0.75</v>
      </c>
      <c r="E11" s="1">
        <v>0.71740000000000004</v>
      </c>
      <c r="F11" s="1">
        <v>6.3E-2</v>
      </c>
      <c r="G11" s="1">
        <v>0.65349999999999997</v>
      </c>
      <c r="H11" s="3">
        <v>284.18</v>
      </c>
      <c r="I11" s="3">
        <f>E11*H11</f>
        <v>203.870732</v>
      </c>
      <c r="J11" s="3">
        <f>F11*H11</f>
        <v>17.90334</v>
      </c>
      <c r="K11" s="3">
        <f>G11*H11</f>
        <v>185.71162999999999</v>
      </c>
      <c r="L11" s="3">
        <f>J11/1000</f>
        <v>1.790334E-2</v>
      </c>
      <c r="M11" s="3">
        <f>K11/1000</f>
        <v>0.18571162999999999</v>
      </c>
      <c r="N11" s="3">
        <f t="shared" ref="N11:N14" si="8">1-L11-M11</f>
        <v>0.79638502999999994</v>
      </c>
      <c r="P11">
        <f t="shared" si="0"/>
        <v>7.5600000000000007E-3</v>
      </c>
      <c r="Q11">
        <f t="shared" si="1"/>
        <v>3.3981999999999998E-2</v>
      </c>
      <c r="R11">
        <f t="shared" si="2"/>
        <v>0.95845800000000003</v>
      </c>
      <c r="S11">
        <f t="shared" si="3"/>
        <v>3.3748521126760567</v>
      </c>
      <c r="T11">
        <f t="shared" si="4"/>
        <v>4.0283521126760569</v>
      </c>
      <c r="U11">
        <f t="shared" si="5"/>
        <v>1.5639149269438799E-2</v>
      </c>
      <c r="V11">
        <f t="shared" si="6"/>
        <v>0.16222514361235327</v>
      </c>
      <c r="W11">
        <f t="shared" si="7"/>
        <v>0.82213570711820794</v>
      </c>
    </row>
    <row r="12" spans="2:23" x14ac:dyDescent="0.3">
      <c r="B12" s="1">
        <v>250</v>
      </c>
      <c r="C12" s="1">
        <v>0.5</v>
      </c>
      <c r="D12" s="1">
        <v>0.5</v>
      </c>
      <c r="E12" s="1">
        <v>0.56899999999999895</v>
      </c>
      <c r="F12" s="1">
        <v>0.12529999999999999</v>
      </c>
      <c r="G12" s="1">
        <v>0.44180000000000003</v>
      </c>
      <c r="H12" s="3">
        <v>284.18</v>
      </c>
      <c r="I12" s="3">
        <f t="shared" ref="I12:I14" si="9">E12*H12</f>
        <v>161.69841999999971</v>
      </c>
      <c r="J12" s="3">
        <f t="shared" ref="J12" si="10">F12*H12</f>
        <v>35.607754</v>
      </c>
      <c r="K12" s="3">
        <f t="shared" ref="K12:K14" si="11">G12*H12</f>
        <v>125.55072400000002</v>
      </c>
      <c r="L12" s="3">
        <f t="shared" ref="L12" si="12">J12/1000</f>
        <v>3.5607753999999998E-2</v>
      </c>
      <c r="M12" s="3">
        <f t="shared" ref="M12:M14" si="13">K12/1000</f>
        <v>0.12555072400000003</v>
      </c>
      <c r="N12" s="3">
        <f t="shared" si="8"/>
        <v>0.83884152199999995</v>
      </c>
      <c r="P12">
        <f t="shared" si="0"/>
        <v>1.5035999999999999E-2</v>
      </c>
      <c r="Q12">
        <f t="shared" si="1"/>
        <v>2.29736E-2</v>
      </c>
      <c r="R12">
        <f t="shared" si="2"/>
        <v>0.96199039999999991</v>
      </c>
      <c r="S12">
        <f t="shared" si="3"/>
        <v>3.3872901408450704</v>
      </c>
      <c r="T12">
        <f t="shared" si="4"/>
        <v>3.8290901408450706</v>
      </c>
      <c r="U12">
        <f t="shared" si="5"/>
        <v>3.2723178455220853E-2</v>
      </c>
      <c r="V12">
        <f t="shared" si="6"/>
        <v>0.115379890195663</v>
      </c>
      <c r="W12">
        <f t="shared" si="7"/>
        <v>0.85189693134911615</v>
      </c>
    </row>
    <row r="13" spans="2:23" x14ac:dyDescent="0.3">
      <c r="B13" s="1">
        <v>250</v>
      </c>
      <c r="C13" s="1">
        <v>0.75</v>
      </c>
      <c r="D13" s="1">
        <v>0.25</v>
      </c>
      <c r="E13" s="1">
        <v>0.43090000000000001</v>
      </c>
      <c r="F13" s="1">
        <v>0.1857</v>
      </c>
      <c r="G13" s="1">
        <v>0.2445</v>
      </c>
      <c r="H13" s="3">
        <v>284.18</v>
      </c>
      <c r="I13" s="3">
        <f t="shared" si="9"/>
        <v>122.45316200000001</v>
      </c>
      <c r="J13" s="3">
        <f>F13*H13</f>
        <v>52.772226000000003</v>
      </c>
      <c r="K13" s="3">
        <f>G13*H13</f>
        <v>69.482010000000002</v>
      </c>
      <c r="L13" s="3">
        <f>J13/1000</f>
        <v>5.2772226000000005E-2</v>
      </c>
      <c r="M13" s="3">
        <f>K13/1000</f>
        <v>6.9482009999999997E-2</v>
      </c>
      <c r="N13" s="3">
        <f t="shared" si="8"/>
        <v>0.87774576400000004</v>
      </c>
      <c r="P13">
        <f t="shared" si="0"/>
        <v>2.2283999999999998E-2</v>
      </c>
      <c r="Q13">
        <f t="shared" si="1"/>
        <v>1.2714E-2</v>
      </c>
      <c r="R13">
        <f t="shared" si="2"/>
        <v>0.96500200000000003</v>
      </c>
      <c r="S13">
        <f t="shared" si="3"/>
        <v>3.3978943661971832</v>
      </c>
      <c r="T13">
        <f t="shared" si="4"/>
        <v>3.6423943661971832</v>
      </c>
      <c r="U13">
        <f t="shared" si="5"/>
        <v>5.0982947295154867E-2</v>
      </c>
      <c r="V13">
        <f t="shared" si="6"/>
        <v>6.7126174548548009E-2</v>
      </c>
      <c r="W13">
        <f t="shared" si="7"/>
        <v>0.88189087815629719</v>
      </c>
    </row>
    <row r="14" spans="2:23" x14ac:dyDescent="0.3">
      <c r="B14" s="1">
        <v>250</v>
      </c>
      <c r="C14" s="1">
        <v>1</v>
      </c>
      <c r="D14" s="1">
        <v>0</v>
      </c>
      <c r="E14" s="1">
        <v>0.27339999999999998</v>
      </c>
      <c r="F14" s="1">
        <v>0.27279999999999999</v>
      </c>
      <c r="G14" s="2">
        <v>-2.99999999999999E-4</v>
      </c>
      <c r="H14" s="3">
        <v>284.18</v>
      </c>
      <c r="I14" s="3">
        <f t="shared" si="9"/>
        <v>77.694811999999999</v>
      </c>
      <c r="J14" s="3">
        <f>F14*H14</f>
        <v>77.524304000000001</v>
      </c>
      <c r="K14" s="3">
        <f t="shared" si="11"/>
        <v>-8.5253999999999719E-2</v>
      </c>
      <c r="L14" s="3">
        <f>J14/1000</f>
        <v>7.7524304000000002E-2</v>
      </c>
      <c r="M14" s="3">
        <f t="shared" si="13"/>
        <v>-8.5253999999999723E-5</v>
      </c>
      <c r="N14" s="3">
        <f t="shared" si="8"/>
        <v>0.92256095000000005</v>
      </c>
      <c r="P14">
        <f t="shared" si="0"/>
        <v>3.2735999999999994E-2</v>
      </c>
      <c r="Q14">
        <f t="shared" si="1"/>
        <v>-1.5599999999999949E-5</v>
      </c>
      <c r="R14">
        <f t="shared" si="2"/>
        <v>0.96727960000000002</v>
      </c>
      <c r="S14">
        <f t="shared" si="3"/>
        <v>3.4059140845070424</v>
      </c>
      <c r="T14">
        <f t="shared" si="4"/>
        <v>3.4056140845070422</v>
      </c>
      <c r="U14">
        <f t="shared" si="5"/>
        <v>8.0103027891807482E-2</v>
      </c>
      <c r="V14">
        <f t="shared" si="6"/>
        <v>-8.8089840056972745E-5</v>
      </c>
      <c r="W14">
        <f t="shared" si="7"/>
        <v>0.91998506194824958</v>
      </c>
    </row>
    <row r="16" spans="2:23" x14ac:dyDescent="0.3">
      <c r="B16" s="44" t="s">
        <v>3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6"/>
    </row>
    <row r="17" spans="2:25" x14ac:dyDescent="0.3">
      <c r="B17" s="1" t="s">
        <v>4</v>
      </c>
      <c r="C17" s="1" t="s">
        <v>5</v>
      </c>
      <c r="D17" s="1" t="s">
        <v>6</v>
      </c>
      <c r="E17" s="1" t="s">
        <v>13</v>
      </c>
      <c r="F17" s="1" t="s">
        <v>8</v>
      </c>
      <c r="G17" s="1" t="s">
        <v>9</v>
      </c>
      <c r="H17" s="3"/>
      <c r="I17" s="3"/>
      <c r="J17" s="3"/>
      <c r="K17" s="3"/>
      <c r="L17" s="3"/>
      <c r="M17" s="3"/>
      <c r="N17" s="3"/>
    </row>
    <row r="18" spans="2:25" x14ac:dyDescent="0.3">
      <c r="B18" s="1" t="s">
        <v>10</v>
      </c>
      <c r="C18" s="1" t="s">
        <v>11</v>
      </c>
      <c r="D18" s="1" t="s">
        <v>11</v>
      </c>
      <c r="E18" s="1" t="s">
        <v>12</v>
      </c>
      <c r="F18" s="1" t="s">
        <v>12</v>
      </c>
      <c r="G18" s="1" t="s">
        <v>12</v>
      </c>
      <c r="H18" s="3"/>
      <c r="I18" s="3"/>
      <c r="J18" s="3"/>
      <c r="K18" s="3"/>
      <c r="L18" s="3"/>
      <c r="M18" s="3"/>
      <c r="N18" s="3"/>
    </row>
    <row r="19" spans="2:25" x14ac:dyDescent="0.3">
      <c r="B19" s="1">
        <v>100.01</v>
      </c>
      <c r="C19" s="1">
        <v>0</v>
      </c>
      <c r="D19" s="1">
        <v>1</v>
      </c>
      <c r="E19" s="1">
        <v>0.34079999999999999</v>
      </c>
      <c r="F19" s="1">
        <v>0</v>
      </c>
      <c r="G19" s="1">
        <v>0.34050000000000002</v>
      </c>
      <c r="H19" s="3">
        <v>284.18</v>
      </c>
      <c r="I19" s="3">
        <f>E19*H19</f>
        <v>96.848544000000004</v>
      </c>
      <c r="J19" s="3">
        <f>F19*H19</f>
        <v>0</v>
      </c>
      <c r="K19" s="3">
        <f>G19*H19</f>
        <v>96.763290000000012</v>
      </c>
      <c r="L19" s="3">
        <f>J19/1000</f>
        <v>0</v>
      </c>
      <c r="M19" s="3">
        <f>K19/1000</f>
        <v>9.6763290000000016E-2</v>
      </c>
      <c r="N19" s="3">
        <f>1-L19-M19</f>
        <v>0.90323670999999994</v>
      </c>
      <c r="P19">
        <f>F19*120.0214/1000</f>
        <v>0</v>
      </c>
      <c r="Q19">
        <f>G19*52.024/1000</f>
        <v>1.7714172E-2</v>
      </c>
      <c r="R19">
        <f>1-Q19-P19</f>
        <v>0.98228582799999997</v>
      </c>
      <c r="S19">
        <f>R19/284*1000</f>
        <v>3.4587529154929579</v>
      </c>
      <c r="T19">
        <f>S19+G19</f>
        <v>3.799252915492958</v>
      </c>
      <c r="U19">
        <f>F19/T19</f>
        <v>0</v>
      </c>
      <c r="V19">
        <f>G19/T19</f>
        <v>8.9622883123015182E-2</v>
      </c>
      <c r="W19">
        <f>1-V19-U19</f>
        <v>0.91037711687698486</v>
      </c>
      <c r="X19">
        <f>V19+U19</f>
        <v>8.9622883123015182E-2</v>
      </c>
      <c r="Y19">
        <f>P19+Q19</f>
        <v>1.7714172E-2</v>
      </c>
    </row>
    <row r="20" spans="2:25" x14ac:dyDescent="0.3">
      <c r="B20" s="1">
        <v>100</v>
      </c>
      <c r="C20" s="1">
        <v>0.25</v>
      </c>
      <c r="D20" s="1">
        <v>0.75</v>
      </c>
      <c r="E20" s="1">
        <v>0.28000000000000003</v>
      </c>
      <c r="F20" s="1">
        <v>2.2100000000000002E-2</v>
      </c>
      <c r="G20" s="1">
        <v>0.2576</v>
      </c>
      <c r="H20" s="3">
        <v>284.18</v>
      </c>
      <c r="I20" s="3">
        <f t="shared" ref="I20:I23" si="14">E20*H20</f>
        <v>79.570400000000006</v>
      </c>
      <c r="J20" s="3">
        <f>F20*H20</f>
        <v>6.2803780000000007</v>
      </c>
      <c r="K20" s="3">
        <f t="shared" ref="K20:K23" si="15">G20*H20</f>
        <v>73.204768000000001</v>
      </c>
      <c r="L20" s="3">
        <f>J20/1000</f>
        <v>6.2803780000000005E-3</v>
      </c>
      <c r="M20" s="3">
        <f t="shared" ref="M20:M23" si="16">K20/1000</f>
        <v>7.3204768000000003E-2</v>
      </c>
      <c r="N20" s="3">
        <f t="shared" ref="N20:N23" si="17">1-L20-M20</f>
        <v>0.92051485399999999</v>
      </c>
      <c r="P20">
        <f t="shared" ref="P20:P23" si="18">F20*120.0214/1000</f>
        <v>2.65247294E-3</v>
      </c>
      <c r="Q20">
        <f t="shared" ref="Q20:Q23" si="19">G20*52.024/1000</f>
        <v>1.34013824E-2</v>
      </c>
      <c r="R20">
        <f t="shared" ref="R20:R23" si="20">1-Q20-P20</f>
        <v>0.98394614465999997</v>
      </c>
      <c r="S20">
        <f t="shared" ref="S20:S23" si="21">R20/284*1000</f>
        <v>3.4645991009154931</v>
      </c>
      <c r="T20">
        <f>S20+G20</f>
        <v>3.7221991009154931</v>
      </c>
      <c r="U20">
        <f>F20/T20</f>
        <v>5.937350313841191E-3</v>
      </c>
      <c r="V20">
        <f>G20/T20</f>
        <v>6.9206400038257496E-2</v>
      </c>
      <c r="W20">
        <f t="shared" ref="W20:W23" si="22">1-V20-U20</f>
        <v>0.92485624964790125</v>
      </c>
      <c r="X20">
        <f t="shared" ref="X20:X22" si="23">V20+U20</f>
        <v>7.5143750352098693E-2</v>
      </c>
      <c r="Y20">
        <f t="shared" ref="Y20:Y23" si="24">P20+Q20</f>
        <v>1.6053855339999999E-2</v>
      </c>
    </row>
    <row r="21" spans="2:25" x14ac:dyDescent="0.3">
      <c r="B21" s="1">
        <v>100</v>
      </c>
      <c r="C21" s="1">
        <v>0.5</v>
      </c>
      <c r="D21" s="1">
        <v>0.5</v>
      </c>
      <c r="E21" s="1">
        <v>0.21609999999999999</v>
      </c>
      <c r="F21" s="1">
        <v>4.7100000000000003E-2</v>
      </c>
      <c r="G21" s="1">
        <v>0.16869999999999999</v>
      </c>
      <c r="H21" s="3">
        <v>284.18</v>
      </c>
      <c r="I21" s="3">
        <f t="shared" si="14"/>
        <v>61.411297999999995</v>
      </c>
      <c r="J21" s="3">
        <f t="shared" ref="J21:J23" si="25">F21*H21</f>
        <v>13.384878</v>
      </c>
      <c r="K21" s="3">
        <f t="shared" si="15"/>
        <v>47.941165999999996</v>
      </c>
      <c r="L21" s="3">
        <f t="shared" ref="L21:L23" si="26">J21/1000</f>
        <v>1.3384878000000001E-2</v>
      </c>
      <c r="M21" s="3">
        <f t="shared" si="16"/>
        <v>4.7941165999999993E-2</v>
      </c>
      <c r="N21" s="3">
        <f t="shared" si="17"/>
        <v>0.93867395600000003</v>
      </c>
      <c r="P21">
        <f t="shared" si="18"/>
        <v>5.6530079400000004E-3</v>
      </c>
      <c r="Q21">
        <f t="shared" si="19"/>
        <v>8.7764487999999995E-3</v>
      </c>
      <c r="R21">
        <f t="shared" si="20"/>
        <v>0.98557054326000004</v>
      </c>
      <c r="S21">
        <f t="shared" si="21"/>
        <v>3.470318814295775</v>
      </c>
      <c r="T21">
        <f>S21+G21</f>
        <v>3.6390188142957749</v>
      </c>
      <c r="U21">
        <f>F21/T21</f>
        <v>1.2943049322792475E-2</v>
      </c>
      <c r="V21">
        <f>G21/T21</f>
        <v>4.6358650122188753E-2</v>
      </c>
      <c r="W21">
        <f t="shared" si="22"/>
        <v>0.9406983005550188</v>
      </c>
      <c r="X21">
        <f t="shared" si="23"/>
        <v>5.9301699444981232E-2</v>
      </c>
      <c r="Y21">
        <f t="shared" si="24"/>
        <v>1.4429456739999999E-2</v>
      </c>
    </row>
    <row r="22" spans="2:25" x14ac:dyDescent="0.3">
      <c r="B22" s="1">
        <v>100</v>
      </c>
      <c r="C22" s="1">
        <v>0.75</v>
      </c>
      <c r="D22" s="1">
        <v>0.25</v>
      </c>
      <c r="E22" s="1">
        <v>0.155</v>
      </c>
      <c r="F22" s="1">
        <v>7.1400000000000005E-2</v>
      </c>
      <c r="G22" s="1">
        <v>8.3500000000000005E-2</v>
      </c>
      <c r="H22" s="3">
        <v>284.18</v>
      </c>
      <c r="I22" s="3">
        <f t="shared" si="14"/>
        <v>44.047899999999998</v>
      </c>
      <c r="J22" s="3">
        <f t="shared" si="25"/>
        <v>20.290452000000002</v>
      </c>
      <c r="K22" s="3">
        <f t="shared" si="15"/>
        <v>23.729030000000002</v>
      </c>
      <c r="L22" s="3">
        <f t="shared" si="26"/>
        <v>2.0290452E-2</v>
      </c>
      <c r="M22" s="3">
        <f t="shared" si="16"/>
        <v>2.3729030000000002E-2</v>
      </c>
      <c r="N22" s="3">
        <f t="shared" si="17"/>
        <v>0.95598051799999995</v>
      </c>
      <c r="P22">
        <f t="shared" si="18"/>
        <v>8.56952796E-3</v>
      </c>
      <c r="Q22">
        <f t="shared" si="19"/>
        <v>4.3440040000000003E-3</v>
      </c>
      <c r="R22">
        <f t="shared" si="20"/>
        <v>0.98708646804</v>
      </c>
      <c r="S22">
        <f t="shared" si="21"/>
        <v>3.4756565776056334</v>
      </c>
      <c r="T22">
        <f>S22+G22</f>
        <v>3.5591565776056333</v>
      </c>
      <c r="U22">
        <f>F22/T22</f>
        <v>2.006093253925716E-2</v>
      </c>
      <c r="V22">
        <f>G22/T22</f>
        <v>2.3460614384145279E-2</v>
      </c>
      <c r="W22">
        <f t="shared" si="22"/>
        <v>0.95647845307659762</v>
      </c>
      <c r="X22">
        <f t="shared" si="23"/>
        <v>4.3521546923402439E-2</v>
      </c>
      <c r="Y22">
        <f t="shared" si="24"/>
        <v>1.291353196E-2</v>
      </c>
    </row>
    <row r="23" spans="2:25" x14ac:dyDescent="0.3">
      <c r="B23" s="1">
        <v>100</v>
      </c>
      <c r="C23" s="1">
        <v>1</v>
      </c>
      <c r="D23" s="1">
        <v>0</v>
      </c>
      <c r="E23" s="1">
        <v>9.5299999999999996E-2</v>
      </c>
      <c r="F23" s="1">
        <v>9.5500000000000002E-2</v>
      </c>
      <c r="G23" s="2">
        <v>1E-4</v>
      </c>
      <c r="H23" s="3">
        <v>284.18</v>
      </c>
      <c r="I23" s="3">
        <f t="shared" si="14"/>
        <v>27.082353999999999</v>
      </c>
      <c r="J23" s="3">
        <f t="shared" si="25"/>
        <v>27.139190000000003</v>
      </c>
      <c r="K23" s="3">
        <f t="shared" si="15"/>
        <v>2.8418000000000002E-2</v>
      </c>
      <c r="L23" s="3">
        <f t="shared" si="26"/>
        <v>2.7139190000000004E-2</v>
      </c>
      <c r="M23" s="3">
        <f t="shared" si="16"/>
        <v>2.8418000000000001E-5</v>
      </c>
      <c r="N23" s="3">
        <f t="shared" si="17"/>
        <v>0.97283239200000005</v>
      </c>
      <c r="P23">
        <f t="shared" si="18"/>
        <v>1.1462043700000001E-2</v>
      </c>
      <c r="Q23">
        <f t="shared" si="19"/>
        <v>5.2024000000000004E-6</v>
      </c>
      <c r="R23">
        <f t="shared" si="20"/>
        <v>0.98853275389999995</v>
      </c>
      <c r="S23">
        <f t="shared" si="21"/>
        <v>3.4807491334507041</v>
      </c>
      <c r="T23">
        <f>S23+G23</f>
        <v>3.4808491334507043</v>
      </c>
      <c r="U23">
        <f>F23/T23</f>
        <v>2.743583428602292E-2</v>
      </c>
      <c r="V23">
        <f>G23/T23</f>
        <v>2.8728622289029236E-5</v>
      </c>
      <c r="W23">
        <f t="shared" si="22"/>
        <v>0.9725354370916881</v>
      </c>
      <c r="X23">
        <f>V23+U23</f>
        <v>2.7464562908311948E-2</v>
      </c>
      <c r="Y23">
        <f t="shared" si="24"/>
        <v>1.14672461E-2</v>
      </c>
    </row>
    <row r="26" spans="2:25" x14ac:dyDescent="0.3">
      <c r="C26" s="4" t="s">
        <v>16</v>
      </c>
      <c r="Q26">
        <f>S26/R26*1000</f>
        <v>0.28531955790485342</v>
      </c>
      <c r="R26">
        <f>S26*U26+T26*V26</f>
        <v>266.36799999999999</v>
      </c>
      <c r="S26">
        <v>7.5999999999999998E-2</v>
      </c>
      <c r="T26">
        <f>1-S26</f>
        <v>0.92400000000000004</v>
      </c>
      <c r="U26">
        <v>52</v>
      </c>
      <c r="V26">
        <v>284</v>
      </c>
      <c r="W26">
        <f>S26</f>
        <v>7.5999999999999998E-2</v>
      </c>
    </row>
    <row r="27" spans="2:25" x14ac:dyDescent="0.3">
      <c r="C27" s="4" t="s">
        <v>17</v>
      </c>
      <c r="I27" t="s">
        <v>24</v>
      </c>
      <c r="Q27">
        <f>S27/R27*1000</f>
        <v>0.28680103841729387</v>
      </c>
      <c r="R27">
        <f>S27*U27+T27*V27</f>
        <v>266.28216000000003</v>
      </c>
      <c r="S27">
        <v>7.6369999999999993E-2</v>
      </c>
      <c r="T27">
        <f>1-S27</f>
        <v>0.92362999999999995</v>
      </c>
      <c r="U27">
        <v>52</v>
      </c>
      <c r="V27">
        <v>284</v>
      </c>
      <c r="W27">
        <f>S27</f>
        <v>7.6369999999999993E-2</v>
      </c>
    </row>
    <row r="28" spans="2:25" x14ac:dyDescent="0.3">
      <c r="C28" s="4" t="s">
        <v>18</v>
      </c>
    </row>
    <row r="29" spans="2:25" x14ac:dyDescent="0.3">
      <c r="C29" s="4" t="s">
        <v>19</v>
      </c>
    </row>
    <row r="30" spans="2:25" x14ac:dyDescent="0.3">
      <c r="C30" s="4" t="s">
        <v>20</v>
      </c>
    </row>
    <row r="31" spans="2:25" x14ac:dyDescent="0.3">
      <c r="C31" s="4" t="s">
        <v>21</v>
      </c>
    </row>
    <row r="32" spans="2:25" x14ac:dyDescent="0.3">
      <c r="C32" s="4" t="s">
        <v>22</v>
      </c>
      <c r="S32">
        <f>1-0.017732</f>
        <v>0.98226800000000003</v>
      </c>
    </row>
    <row r="33" spans="3:19" x14ac:dyDescent="0.3">
      <c r="C33" s="4" t="s">
        <v>23</v>
      </c>
      <c r="S33">
        <f>1-0.011502</f>
        <v>0.98849799999999999</v>
      </c>
    </row>
  </sheetData>
  <mergeCells count="2">
    <mergeCell ref="B7:N7"/>
    <mergeCell ref="B16:N1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A7F3-8E13-47D1-BD7C-584C14718F56}">
  <dimension ref="A1:Q83"/>
  <sheetViews>
    <sheetView topLeftCell="A19" zoomScale="85" zoomScaleNormal="85" workbookViewId="0">
      <selection activeCell="E35" sqref="E35"/>
    </sheetView>
  </sheetViews>
  <sheetFormatPr defaultRowHeight="14.4" x14ac:dyDescent="0.3"/>
  <cols>
    <col min="5" max="5" width="11.44140625" bestFit="1" customWidth="1"/>
    <col min="6" max="6" width="10.6640625" customWidth="1"/>
    <col min="9" max="9" width="12.5546875" bestFit="1" customWidth="1"/>
    <col min="10" max="10" width="11.33203125" bestFit="1" customWidth="1"/>
    <col min="11" max="11" width="9.77734375" customWidth="1"/>
    <col min="14" max="14" width="12.44140625" bestFit="1" customWidth="1"/>
  </cols>
  <sheetData>
    <row r="1" spans="1:13" x14ac:dyDescent="0.3">
      <c r="A1" s="44" t="s">
        <v>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15</v>
      </c>
      <c r="H2" s="3"/>
      <c r="I2" s="3"/>
      <c r="J2" s="3"/>
      <c r="K2" s="3"/>
      <c r="L2" s="3"/>
      <c r="M2" s="3"/>
    </row>
    <row r="3" spans="1:13" x14ac:dyDescent="0.3">
      <c r="A3" s="1" t="s">
        <v>10</v>
      </c>
      <c r="B3" s="1" t="s">
        <v>11</v>
      </c>
      <c r="C3" s="1" t="s">
        <v>11</v>
      </c>
      <c r="D3" s="1" t="s">
        <v>12</v>
      </c>
      <c r="E3" s="1" t="s">
        <v>12</v>
      </c>
      <c r="F3" s="1" t="s">
        <v>12</v>
      </c>
      <c r="G3" s="1" t="s">
        <v>14</v>
      </c>
      <c r="H3" s="3"/>
      <c r="I3" s="3"/>
      <c r="J3" s="3"/>
      <c r="K3" s="3"/>
      <c r="L3" s="3"/>
      <c r="M3" s="3"/>
    </row>
    <row r="4" spans="1:13" x14ac:dyDescent="0.3">
      <c r="A4" s="1">
        <v>250</v>
      </c>
      <c r="B4" s="1">
        <v>0</v>
      </c>
      <c r="C4" s="1">
        <v>1</v>
      </c>
      <c r="D4" s="1">
        <v>0.86939999999999995</v>
      </c>
      <c r="E4" s="1">
        <v>0</v>
      </c>
      <c r="F4" s="1">
        <v>0.86839999999999995</v>
      </c>
      <c r="G4" s="3">
        <v>284.18</v>
      </c>
      <c r="H4" s="3">
        <f>D4*G4</f>
        <v>247.066092</v>
      </c>
      <c r="I4" s="3">
        <f>E4*G4</f>
        <v>0</v>
      </c>
      <c r="J4" s="3">
        <f>F4*G4</f>
        <v>246.78191200000001</v>
      </c>
      <c r="K4" s="3">
        <f>I4/1000</f>
        <v>0</v>
      </c>
      <c r="L4" s="3">
        <f>J4/1000</f>
        <v>0.24678191199999999</v>
      </c>
      <c r="M4" s="3">
        <f>1-K4-L4</f>
        <v>0.75321808800000001</v>
      </c>
    </row>
    <row r="5" spans="1:13" x14ac:dyDescent="0.3">
      <c r="A5" s="1">
        <v>250</v>
      </c>
      <c r="B5" s="1">
        <v>0.25</v>
      </c>
      <c r="C5" s="1">
        <v>0.75</v>
      </c>
      <c r="D5" s="1">
        <v>0.71740000000000004</v>
      </c>
      <c r="E5" s="1">
        <v>6.3E-2</v>
      </c>
      <c r="F5" s="1">
        <v>0.65349999999999997</v>
      </c>
      <c r="G5" s="3">
        <v>284.18</v>
      </c>
      <c r="H5" s="3">
        <f>D5*G5</f>
        <v>203.870732</v>
      </c>
      <c r="I5" s="3">
        <f>E5*G5</f>
        <v>17.90334</v>
      </c>
      <c r="J5" s="3">
        <f>F5*G5</f>
        <v>185.71162999999999</v>
      </c>
      <c r="K5" s="3">
        <f>I5/1000</f>
        <v>1.790334E-2</v>
      </c>
      <c r="L5" s="3">
        <f>J5/1000</f>
        <v>0.18571162999999999</v>
      </c>
      <c r="M5" s="3">
        <f t="shared" ref="M5:M8" si="0">1-K5-L5</f>
        <v>0.79638502999999994</v>
      </c>
    </row>
    <row r="6" spans="1:13" x14ac:dyDescent="0.3">
      <c r="A6" s="1">
        <v>250</v>
      </c>
      <c r="B6" s="1">
        <v>0.5</v>
      </c>
      <c r="C6" s="1">
        <v>0.5</v>
      </c>
      <c r="D6" s="1">
        <v>0.56899999999999895</v>
      </c>
      <c r="E6" s="1">
        <v>0.12529999999999999</v>
      </c>
      <c r="F6" s="1">
        <v>0.44180000000000003</v>
      </c>
      <c r="G6" s="3">
        <v>284.18</v>
      </c>
      <c r="H6" s="3">
        <f t="shared" ref="H6:H8" si="1">D6*G6</f>
        <v>161.69841999999971</v>
      </c>
      <c r="I6" s="3">
        <f t="shared" ref="I6" si="2">E6*G6</f>
        <v>35.607754</v>
      </c>
      <c r="J6" s="3">
        <f t="shared" ref="J6:J8" si="3">F6*G6</f>
        <v>125.55072400000002</v>
      </c>
      <c r="K6" s="3">
        <f t="shared" ref="K6:L8" si="4">I6/1000</f>
        <v>3.5607753999999998E-2</v>
      </c>
      <c r="L6" s="3">
        <f t="shared" si="4"/>
        <v>0.12555072400000003</v>
      </c>
      <c r="M6" s="3">
        <f t="shared" si="0"/>
        <v>0.83884152199999995</v>
      </c>
    </row>
    <row r="7" spans="1:13" x14ac:dyDescent="0.3">
      <c r="A7" s="1">
        <v>250</v>
      </c>
      <c r="B7" s="1">
        <v>0.75</v>
      </c>
      <c r="C7" s="1">
        <v>0.25</v>
      </c>
      <c r="D7" s="1">
        <v>0.43090000000000001</v>
      </c>
      <c r="E7" s="1">
        <v>0.1857</v>
      </c>
      <c r="F7" s="1">
        <v>0.2445</v>
      </c>
      <c r="G7" s="3">
        <v>284.18</v>
      </c>
      <c r="H7" s="3">
        <f t="shared" si="1"/>
        <v>122.45316200000001</v>
      </c>
      <c r="I7" s="3">
        <f>E7*G7</f>
        <v>52.772226000000003</v>
      </c>
      <c r="J7" s="3">
        <f>F7*G7</f>
        <v>69.482010000000002</v>
      </c>
      <c r="K7" s="3">
        <f>I7/1000</f>
        <v>5.2772226000000005E-2</v>
      </c>
      <c r="L7" s="3">
        <f>J7/1000</f>
        <v>6.9482009999999997E-2</v>
      </c>
      <c r="M7" s="3">
        <f t="shared" si="0"/>
        <v>0.87774576400000004</v>
      </c>
    </row>
    <row r="8" spans="1:13" x14ac:dyDescent="0.3">
      <c r="A8" s="1">
        <v>250</v>
      </c>
      <c r="B8" s="1">
        <v>1</v>
      </c>
      <c r="C8" s="1">
        <v>0</v>
      </c>
      <c r="D8" s="1">
        <v>0.27339999999999998</v>
      </c>
      <c r="E8" s="1">
        <v>0.27279999999999999</v>
      </c>
      <c r="F8" s="2">
        <v>-2.99999999999999E-4</v>
      </c>
      <c r="G8" s="3">
        <v>284.18</v>
      </c>
      <c r="H8" s="3">
        <f t="shared" si="1"/>
        <v>77.694811999999999</v>
      </c>
      <c r="I8" s="3">
        <f>E8*G8</f>
        <v>77.524304000000001</v>
      </c>
      <c r="J8" s="3">
        <f t="shared" si="3"/>
        <v>-8.5253999999999719E-2</v>
      </c>
      <c r="K8" s="3">
        <f>I8/1000</f>
        <v>7.7524304000000002E-2</v>
      </c>
      <c r="L8" s="3">
        <f t="shared" si="4"/>
        <v>-8.5253999999999723E-5</v>
      </c>
      <c r="M8" s="3">
        <f t="shared" si="0"/>
        <v>0.92256095000000005</v>
      </c>
    </row>
    <row r="10" spans="1:13" x14ac:dyDescent="0.3">
      <c r="A10" s="44" t="s">
        <v>3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</row>
    <row r="11" spans="1:13" x14ac:dyDescent="0.3">
      <c r="A11" s="1" t="s">
        <v>4</v>
      </c>
      <c r="B11" s="1" t="s">
        <v>5</v>
      </c>
      <c r="C11" s="1" t="s">
        <v>6</v>
      </c>
      <c r="D11" s="1" t="s">
        <v>13</v>
      </c>
      <c r="E11" s="1" t="s">
        <v>8</v>
      </c>
      <c r="F11" s="1" t="s">
        <v>9</v>
      </c>
      <c r="G11" s="3"/>
      <c r="H11" s="3"/>
      <c r="I11" s="3"/>
      <c r="J11" s="3"/>
      <c r="K11" s="3"/>
      <c r="L11" s="3"/>
      <c r="M11" s="3"/>
    </row>
    <row r="12" spans="1:13" x14ac:dyDescent="0.3">
      <c r="A12" s="1" t="s">
        <v>10</v>
      </c>
      <c r="B12" s="1" t="s">
        <v>11</v>
      </c>
      <c r="C12" s="1" t="s">
        <v>11</v>
      </c>
      <c r="D12" s="1" t="s">
        <v>12</v>
      </c>
      <c r="E12" s="1" t="s">
        <v>12</v>
      </c>
      <c r="F12" s="1" t="s">
        <v>12</v>
      </c>
      <c r="G12" s="3"/>
      <c r="H12" s="3"/>
      <c r="I12" s="3"/>
      <c r="J12" s="3"/>
      <c r="K12" s="3"/>
      <c r="L12" s="3"/>
      <c r="M12" s="3"/>
    </row>
    <row r="13" spans="1:13" x14ac:dyDescent="0.3">
      <c r="A13" s="1">
        <v>100.01</v>
      </c>
      <c r="B13" s="1">
        <v>0</v>
      </c>
      <c r="C13" s="1">
        <v>1</v>
      </c>
      <c r="D13" s="1">
        <v>0.34079999999999999</v>
      </c>
      <c r="E13" s="1">
        <v>0</v>
      </c>
      <c r="F13" s="1">
        <v>0.34050000000000002</v>
      </c>
      <c r="G13" s="3">
        <v>284.18</v>
      </c>
      <c r="H13" s="3">
        <f>D13*G13</f>
        <v>96.848544000000004</v>
      </c>
      <c r="I13" s="3">
        <f>E13*G13</f>
        <v>0</v>
      </c>
      <c r="J13" s="3">
        <f>F13*G13</f>
        <v>96.763290000000012</v>
      </c>
      <c r="K13" s="3">
        <f>I13/1000</f>
        <v>0</v>
      </c>
      <c r="L13" s="3">
        <f>J13/1000</f>
        <v>9.6763290000000016E-2</v>
      </c>
      <c r="M13" s="3">
        <f>1-K13-L13</f>
        <v>0.90323670999999994</v>
      </c>
    </row>
    <row r="14" spans="1:13" x14ac:dyDescent="0.3">
      <c r="A14" s="1">
        <v>100</v>
      </c>
      <c r="B14" s="1">
        <v>0.25</v>
      </c>
      <c r="C14" s="1">
        <v>0.75</v>
      </c>
      <c r="D14" s="1">
        <v>0.28000000000000003</v>
      </c>
      <c r="E14" s="1">
        <v>2.2100000000000002E-2</v>
      </c>
      <c r="F14" s="1">
        <v>0.2576</v>
      </c>
      <c r="G14" s="3">
        <v>284.18</v>
      </c>
      <c r="H14" s="3">
        <f t="shared" ref="H14:H17" si="5">D14*G14</f>
        <v>79.570400000000006</v>
      </c>
      <c r="I14" s="3">
        <f>E14*G14</f>
        <v>6.2803780000000007</v>
      </c>
      <c r="J14" s="3">
        <f t="shared" ref="J14:J17" si="6">F14*G14</f>
        <v>73.204768000000001</v>
      </c>
      <c r="K14" s="3">
        <f>I14/1000</f>
        <v>6.2803780000000005E-3</v>
      </c>
      <c r="L14" s="3">
        <f t="shared" ref="L14:L17" si="7">J14/1000</f>
        <v>7.3204768000000003E-2</v>
      </c>
      <c r="M14" s="3">
        <f t="shared" ref="M14:M17" si="8">1-K14-L14</f>
        <v>0.92051485399999999</v>
      </c>
    </row>
    <row r="15" spans="1:13" x14ac:dyDescent="0.3">
      <c r="A15" s="1">
        <v>100</v>
      </c>
      <c r="B15" s="1">
        <v>0.5</v>
      </c>
      <c r="C15" s="1">
        <v>0.5</v>
      </c>
      <c r="D15" s="1">
        <v>0.21609999999999999</v>
      </c>
      <c r="E15" s="1">
        <v>4.7100000000000003E-2</v>
      </c>
      <c r="F15" s="1">
        <v>0.16869999999999999</v>
      </c>
      <c r="G15" s="3">
        <v>284.18</v>
      </c>
      <c r="H15" s="3">
        <f t="shared" si="5"/>
        <v>61.411297999999995</v>
      </c>
      <c r="I15" s="3">
        <f t="shared" ref="I15:I17" si="9">E15*G15</f>
        <v>13.384878</v>
      </c>
      <c r="J15" s="3">
        <f t="shared" si="6"/>
        <v>47.941165999999996</v>
      </c>
      <c r="K15" s="3">
        <f t="shared" ref="K15:K17" si="10">I15/1000</f>
        <v>1.3384878000000001E-2</v>
      </c>
      <c r="L15" s="3">
        <f t="shared" si="7"/>
        <v>4.7941165999999993E-2</v>
      </c>
      <c r="M15" s="3">
        <f t="shared" si="8"/>
        <v>0.93867395600000003</v>
      </c>
    </row>
    <row r="16" spans="1:13" x14ac:dyDescent="0.3">
      <c r="A16" s="1">
        <v>100</v>
      </c>
      <c r="B16" s="1">
        <v>0.75</v>
      </c>
      <c r="C16" s="1">
        <v>0.25</v>
      </c>
      <c r="D16" s="1">
        <v>0.155</v>
      </c>
      <c r="E16" s="1">
        <v>7.1400000000000005E-2</v>
      </c>
      <c r="F16" s="1">
        <v>8.3500000000000005E-2</v>
      </c>
      <c r="G16" s="3">
        <v>284.18</v>
      </c>
      <c r="H16" s="3">
        <f t="shared" si="5"/>
        <v>44.047899999999998</v>
      </c>
      <c r="I16" s="3">
        <f t="shared" si="9"/>
        <v>20.290452000000002</v>
      </c>
      <c r="J16" s="3">
        <f t="shared" si="6"/>
        <v>23.729030000000002</v>
      </c>
      <c r="K16" s="3">
        <f t="shared" si="10"/>
        <v>2.0290452E-2</v>
      </c>
      <c r="L16" s="3">
        <f t="shared" si="7"/>
        <v>2.3729030000000002E-2</v>
      </c>
      <c r="M16" s="3">
        <f t="shared" si="8"/>
        <v>0.95598051799999995</v>
      </c>
    </row>
    <row r="17" spans="1:17" x14ac:dyDescent="0.3">
      <c r="A17" s="1">
        <v>100</v>
      </c>
      <c r="B17" s="1">
        <v>1</v>
      </c>
      <c r="C17" s="1">
        <v>0</v>
      </c>
      <c r="D17" s="1">
        <v>9.5299999999999996E-2</v>
      </c>
      <c r="E17" s="1">
        <v>9.5500000000000002E-2</v>
      </c>
      <c r="F17" s="2">
        <v>1E-4</v>
      </c>
      <c r="G17" s="3">
        <v>284.18</v>
      </c>
      <c r="H17" s="3">
        <f t="shared" si="5"/>
        <v>27.082353999999999</v>
      </c>
      <c r="I17" s="3">
        <f t="shared" si="9"/>
        <v>27.139190000000003</v>
      </c>
      <c r="J17" s="3">
        <f t="shared" si="6"/>
        <v>2.8418000000000002E-2</v>
      </c>
      <c r="K17" s="3">
        <f t="shared" si="10"/>
        <v>2.7139190000000004E-2</v>
      </c>
      <c r="L17" s="3">
        <f t="shared" si="7"/>
        <v>2.8418000000000001E-5</v>
      </c>
      <c r="M17" s="3">
        <f t="shared" si="8"/>
        <v>0.97283239200000005</v>
      </c>
    </row>
    <row r="20" spans="1:17" x14ac:dyDescent="0.3">
      <c r="E20" t="s">
        <v>25</v>
      </c>
      <c r="F20" t="s">
        <v>26</v>
      </c>
      <c r="G20" t="s">
        <v>15</v>
      </c>
    </row>
    <row r="21" spans="1:17" x14ac:dyDescent="0.3">
      <c r="E21">
        <v>52.024000000000001</v>
      </c>
      <c r="F21">
        <v>120.02</v>
      </c>
      <c r="G21">
        <v>284.18</v>
      </c>
    </row>
    <row r="24" spans="1:17" ht="15" thickBot="1" x14ac:dyDescent="0.35"/>
    <row r="25" spans="1:17" ht="15" thickBot="1" x14ac:dyDescent="0.35">
      <c r="A25" s="5">
        <v>298.2</v>
      </c>
      <c r="B25" s="6">
        <v>100000</v>
      </c>
      <c r="C25" s="6">
        <v>7.6399999999999996E-2</v>
      </c>
      <c r="D25" s="6">
        <v>0.92359999999999998</v>
      </c>
      <c r="E25" s="7"/>
      <c r="F25" s="6">
        <v>8.9800000000000005E-2</v>
      </c>
      <c r="G25" s="6">
        <v>0.91020000000000001</v>
      </c>
      <c r="H25" s="8">
        <f>(F25-C25)/C25</f>
        <v>0.17539267015706819</v>
      </c>
      <c r="I25" s="8">
        <f>(G25-D25)/D25</f>
        <v>-1.4508445214378484E-2</v>
      </c>
      <c r="J25">
        <v>0.34079999999999999</v>
      </c>
      <c r="K25">
        <v>0.28670000000000001</v>
      </c>
      <c r="L25">
        <f>F25*E21</f>
        <v>4.6717552000000007</v>
      </c>
      <c r="M25">
        <f>G25*G21</f>
        <v>258.66063600000001</v>
      </c>
      <c r="N25">
        <f>L25/(L25+M25)</f>
        <v>1.7740906003666748E-2</v>
      </c>
      <c r="O25">
        <f>N25*(L25+M25)</f>
        <v>4.6717552000000007</v>
      </c>
      <c r="P25">
        <f>L25+M25</f>
        <v>263.33239120000002</v>
      </c>
      <c r="Q25">
        <f>N25/E21*1000</f>
        <v>0.34101387828053875</v>
      </c>
    </row>
    <row r="26" spans="1:17" ht="15" thickBot="1" x14ac:dyDescent="0.35">
      <c r="A26" s="9">
        <v>298.2</v>
      </c>
      <c r="B26" s="10">
        <v>250000</v>
      </c>
      <c r="C26" s="10">
        <v>0.17774999999999999</v>
      </c>
      <c r="D26" s="10">
        <v>0.80979999999999996</v>
      </c>
      <c r="E26" s="11"/>
      <c r="F26" s="10">
        <v>0.20549999999999999</v>
      </c>
      <c r="G26" s="10">
        <v>0.7944</v>
      </c>
      <c r="H26" s="8">
        <f t="shared" ref="H26:I28" si="11">(F26-C26)/C26</f>
        <v>0.15611814345991559</v>
      </c>
      <c r="I26" s="8">
        <f t="shared" si="11"/>
        <v>-1.9017041244751752E-2</v>
      </c>
      <c r="J26">
        <v>0.86939999999999995</v>
      </c>
      <c r="L26">
        <f>F26*E21</f>
        <v>10.690932</v>
      </c>
      <c r="M26">
        <f>G26*G21</f>
        <v>225.75259199999999</v>
      </c>
      <c r="N26">
        <f>L26/(L26+M26)</f>
        <v>4.5215583912545647E-2</v>
      </c>
      <c r="O26">
        <f t="shared" ref="O26:O28" si="12">N26*(L26+M26)</f>
        <v>10.690932</v>
      </c>
      <c r="P26">
        <f t="shared" ref="P26:P28" si="13">L26+M26</f>
        <v>236.443524</v>
      </c>
      <c r="Q26">
        <f>N26/E21*1000</f>
        <v>0.86912932324591818</v>
      </c>
    </row>
    <row r="27" spans="1:17" ht="15" thickBot="1" x14ac:dyDescent="0.35">
      <c r="A27" s="9">
        <v>298.2</v>
      </c>
      <c r="B27" s="10">
        <v>100000</v>
      </c>
      <c r="C27" s="10">
        <v>2.4E-2</v>
      </c>
      <c r="D27" s="10">
        <v>0.97689999999999999</v>
      </c>
      <c r="E27" s="11"/>
      <c r="F27" s="10">
        <v>2.6800000000000001E-2</v>
      </c>
      <c r="G27" s="10">
        <v>0.97319999999999995</v>
      </c>
      <c r="H27" s="8">
        <f t="shared" si="11"/>
        <v>0.11666666666666668</v>
      </c>
      <c r="I27" s="8">
        <f t="shared" si="11"/>
        <v>-3.7874910430955437E-3</v>
      </c>
      <c r="J27">
        <v>9.5299999999999996E-2</v>
      </c>
      <c r="L27">
        <f>F27*F21</f>
        <v>3.2165360000000001</v>
      </c>
      <c r="M27">
        <f>G27*G21</f>
        <v>276.56397599999997</v>
      </c>
      <c r="N27">
        <f>L27/(L27+M27)</f>
        <v>1.1496640623775827E-2</v>
      </c>
      <c r="O27">
        <f t="shared" si="12"/>
        <v>3.2165360000000001</v>
      </c>
      <c r="P27">
        <f t="shared" si="13"/>
        <v>279.78051199999999</v>
      </c>
      <c r="Q27">
        <f>N27/F21*1000</f>
        <v>9.5789373635859251E-2</v>
      </c>
    </row>
    <row r="28" spans="1:17" ht="15" thickBot="1" x14ac:dyDescent="0.35">
      <c r="A28" s="9">
        <v>298.2</v>
      </c>
      <c r="B28" s="10">
        <v>250000</v>
      </c>
      <c r="C28" s="10">
        <v>6.0749999999999998E-2</v>
      </c>
      <c r="D28" s="10">
        <v>0.93489999999999995</v>
      </c>
      <c r="E28" s="11"/>
      <c r="F28" s="10">
        <v>7.4399999999999994E-2</v>
      </c>
      <c r="G28" s="10">
        <v>0.92559999999999998</v>
      </c>
      <c r="H28" s="8">
        <f t="shared" si="11"/>
        <v>0.22469135802469128</v>
      </c>
      <c r="I28" s="8">
        <f t="shared" si="11"/>
        <v>-9.9475879773237522E-3</v>
      </c>
      <c r="J28">
        <v>0.27339999999999998</v>
      </c>
      <c r="L28">
        <f>F28*F21</f>
        <v>8.9294879999999992</v>
      </c>
      <c r="M28">
        <f>G28*G21</f>
        <v>263.03700800000001</v>
      </c>
      <c r="N28">
        <f t="shared" ref="N28" si="14">L28/(L28+M28)</f>
        <v>3.2833044258510427E-2</v>
      </c>
      <c r="O28">
        <f t="shared" si="12"/>
        <v>8.9294879999999992</v>
      </c>
      <c r="P28">
        <f t="shared" si="13"/>
        <v>271.96649600000001</v>
      </c>
      <c r="Q28">
        <f>N28/F21*1000</f>
        <v>0.27356310830286978</v>
      </c>
    </row>
    <row r="29" spans="1:17" x14ac:dyDescent="0.3">
      <c r="J29">
        <v>0.34079999999999999</v>
      </c>
      <c r="K29">
        <v>0.28670000000000001</v>
      </c>
      <c r="L29">
        <f>C25*E21</f>
        <v>3.9746335999999998</v>
      </c>
      <c r="M29">
        <f>D25*G21</f>
        <v>262.46864799999997</v>
      </c>
      <c r="N29">
        <f>L29/(L29+M29)</f>
        <v>1.4917372193181996E-2</v>
      </c>
      <c r="O29">
        <f>N29*(L29+M29)</f>
        <v>3.9746335999999998</v>
      </c>
      <c r="P29">
        <f>L29+M29</f>
        <v>266.44328159999998</v>
      </c>
      <c r="Q29">
        <f>N29/E21*1000</f>
        <v>0.28674020054555582</v>
      </c>
    </row>
    <row r="30" spans="1:17" x14ac:dyDescent="0.3">
      <c r="J30">
        <v>0.86939999999999995</v>
      </c>
      <c r="L30">
        <f>C26*E21</f>
        <v>9.2472659999999998</v>
      </c>
      <c r="M30">
        <f>D26*G21</f>
        <v>230.128964</v>
      </c>
      <c r="N30">
        <f>L30/(L30+M30)</f>
        <v>3.863067774106059E-2</v>
      </c>
      <c r="O30">
        <f t="shared" ref="O30:O32" si="15">N30*(L30+M30)</f>
        <v>9.2472659999999998</v>
      </c>
      <c r="P30">
        <f t="shared" ref="P30:P32" si="16">L30+M30</f>
        <v>239.37622999999999</v>
      </c>
      <c r="Q30">
        <f>N30/E21*1000</f>
        <v>0.74255493120599314</v>
      </c>
    </row>
    <row r="31" spans="1:17" x14ac:dyDescent="0.3">
      <c r="J31">
        <v>9.5299999999999996E-2</v>
      </c>
      <c r="L31">
        <f>C27*F21</f>
        <v>2.8804799999999999</v>
      </c>
      <c r="M31">
        <f>D27*G21</f>
        <v>277.61544200000003</v>
      </c>
      <c r="N31">
        <f>L31/(L31+M31)</f>
        <v>1.0269240206636587E-2</v>
      </c>
      <c r="O31">
        <f t="shared" si="15"/>
        <v>2.8804799999999999</v>
      </c>
      <c r="P31">
        <f t="shared" si="16"/>
        <v>280.49592200000001</v>
      </c>
      <c r="Q31">
        <f>N31/F21*1000</f>
        <v>8.5562741265094042E-2</v>
      </c>
    </row>
    <row r="32" spans="1:17" x14ac:dyDescent="0.3">
      <c r="J32">
        <v>0.27339999999999998</v>
      </c>
      <c r="L32">
        <f>C28*F21</f>
        <v>7.2912149999999993</v>
      </c>
      <c r="M32">
        <f>D28*G21</f>
        <v>265.67988200000002</v>
      </c>
      <c r="N32">
        <f>L32/(L32+M32)</f>
        <v>2.6710575149280359E-2</v>
      </c>
      <c r="O32">
        <f t="shared" si="15"/>
        <v>7.2912149999999993</v>
      </c>
      <c r="P32">
        <f t="shared" si="16"/>
        <v>272.97109700000004</v>
      </c>
      <c r="Q32">
        <f>N32/F21*1000</f>
        <v>0.22255103440493551</v>
      </c>
    </row>
    <row r="35" spans="2:14" x14ac:dyDescent="0.3">
      <c r="C35">
        <v>0</v>
      </c>
      <c r="D35">
        <f>Q29</f>
        <v>0.28674020054555582</v>
      </c>
    </row>
    <row r="36" spans="2:14" x14ac:dyDescent="0.3">
      <c r="C36">
        <v>1</v>
      </c>
      <c r="D36">
        <f>Q31</f>
        <v>8.5562741265094042E-2</v>
      </c>
    </row>
    <row r="37" spans="2:14" x14ac:dyDescent="0.3">
      <c r="C37">
        <v>0</v>
      </c>
      <c r="D37">
        <f>Q30</f>
        <v>0.74255493120599314</v>
      </c>
    </row>
    <row r="38" spans="2:14" x14ac:dyDescent="0.3">
      <c r="C38">
        <v>1</v>
      </c>
      <c r="D38">
        <f>Q32</f>
        <v>0.22255103440493551</v>
      </c>
    </row>
    <row r="40" spans="2:14" ht="15" thickBot="1" x14ac:dyDescent="0.35"/>
    <row r="41" spans="2:14" ht="15" thickBot="1" x14ac:dyDescent="0.35">
      <c r="B41" s="49"/>
      <c r="C41" s="50"/>
      <c r="D41" s="51"/>
      <c r="E41" s="52" t="s">
        <v>28</v>
      </c>
      <c r="F41" s="53"/>
      <c r="G41" s="53"/>
      <c r="H41" s="53"/>
      <c r="I41" s="54"/>
      <c r="J41" s="52" t="s">
        <v>29</v>
      </c>
      <c r="K41" s="53"/>
      <c r="L41" s="53"/>
      <c r="M41" s="53"/>
      <c r="N41" s="54"/>
    </row>
    <row r="42" spans="2:14" ht="15" thickBot="1" x14ac:dyDescent="0.35">
      <c r="B42" s="28" t="s">
        <v>39</v>
      </c>
      <c r="C42" s="7" t="s">
        <v>32</v>
      </c>
      <c r="D42" s="28" t="s">
        <v>31</v>
      </c>
      <c r="E42" s="29" t="s">
        <v>33</v>
      </c>
      <c r="F42" s="30" t="s">
        <v>15</v>
      </c>
      <c r="G42" s="30" t="s">
        <v>33</v>
      </c>
      <c r="H42" s="30" t="s">
        <v>15</v>
      </c>
      <c r="I42" s="31" t="s">
        <v>27</v>
      </c>
      <c r="J42" s="29" t="s">
        <v>33</v>
      </c>
      <c r="K42" s="30" t="s">
        <v>15</v>
      </c>
      <c r="L42" s="30" t="s">
        <v>33</v>
      </c>
      <c r="M42" s="30" t="s">
        <v>15</v>
      </c>
      <c r="N42" s="31" t="s">
        <v>27</v>
      </c>
    </row>
    <row r="43" spans="2:14" s="13" customFormat="1" ht="15" thickBot="1" x14ac:dyDescent="0.35">
      <c r="B43" s="39" t="s">
        <v>40</v>
      </c>
      <c r="C43" s="40" t="s">
        <v>30</v>
      </c>
      <c r="D43" s="39" t="s">
        <v>10</v>
      </c>
      <c r="E43" s="41" t="s">
        <v>35</v>
      </c>
      <c r="F43" s="42" t="s">
        <v>35</v>
      </c>
      <c r="G43" s="42" t="s">
        <v>36</v>
      </c>
      <c r="H43" s="42" t="s">
        <v>36</v>
      </c>
      <c r="I43" s="43" t="s">
        <v>34</v>
      </c>
      <c r="J43" s="41" t="s">
        <v>35</v>
      </c>
      <c r="K43" s="42" t="s">
        <v>35</v>
      </c>
      <c r="L43" s="42" t="s">
        <v>36</v>
      </c>
      <c r="M43" s="42" t="s">
        <v>36</v>
      </c>
      <c r="N43" s="43" t="s">
        <v>34</v>
      </c>
    </row>
    <row r="44" spans="2:14" x14ac:dyDescent="0.3">
      <c r="B44" s="55" t="s">
        <v>37</v>
      </c>
      <c r="C44" s="32">
        <v>298.2</v>
      </c>
      <c r="D44" s="33">
        <v>100000</v>
      </c>
      <c r="E44" s="34">
        <v>7.6399999999999996E-2</v>
      </c>
      <c r="F44" s="35">
        <v>0.92359999999999998</v>
      </c>
      <c r="G44" s="36">
        <v>1.4917372193181996E-2</v>
      </c>
      <c r="H44" s="36">
        <f>1-G44</f>
        <v>0.98508262780681799</v>
      </c>
      <c r="I44" s="37">
        <v>0.28674020054555582</v>
      </c>
      <c r="J44" s="34">
        <v>8.9800000000000005E-2</v>
      </c>
      <c r="K44" s="35">
        <v>0.91020000000000001</v>
      </c>
      <c r="L44" s="36">
        <v>1.7740906003666748E-2</v>
      </c>
      <c r="M44" s="36">
        <f>1-L44</f>
        <v>0.98225909399633327</v>
      </c>
      <c r="N44" s="38">
        <v>0.34101387828053875</v>
      </c>
    </row>
    <row r="45" spans="2:14" x14ac:dyDescent="0.3">
      <c r="B45" s="47"/>
      <c r="C45" s="26">
        <v>298.2</v>
      </c>
      <c r="D45" s="24">
        <v>250000</v>
      </c>
      <c r="E45" s="16">
        <v>0.19020000000000001</v>
      </c>
      <c r="F45" s="14">
        <v>0.80979999999999996</v>
      </c>
      <c r="G45" s="15">
        <v>4.1224909739082653E-2</v>
      </c>
      <c r="H45" s="15">
        <f t="shared" ref="H45:H47" si="17">1-G45</f>
        <v>0.95877509026091734</v>
      </c>
      <c r="I45" s="22">
        <v>0.79242099298559621</v>
      </c>
      <c r="J45" s="16">
        <v>0.20549999999999999</v>
      </c>
      <c r="K45" s="14">
        <v>0.7944</v>
      </c>
      <c r="L45" s="15">
        <v>4.5215583912545647E-2</v>
      </c>
      <c r="M45" s="15">
        <f t="shared" ref="M45:M47" si="18">1-L45</f>
        <v>0.95478441608745435</v>
      </c>
      <c r="N45" s="17">
        <v>0.86912932324591818</v>
      </c>
    </row>
    <row r="46" spans="2:14" x14ac:dyDescent="0.3">
      <c r="B46" s="47" t="s">
        <v>38</v>
      </c>
      <c r="C46" s="26">
        <v>298.2</v>
      </c>
      <c r="D46" s="24">
        <v>100000</v>
      </c>
      <c r="E46" s="16">
        <v>2.3099999999999999E-2</v>
      </c>
      <c r="F46" s="14">
        <v>0.97689999999999999</v>
      </c>
      <c r="G46" s="15">
        <v>9.8879515144847316E-3</v>
      </c>
      <c r="H46" s="15">
        <f t="shared" si="17"/>
        <v>0.99011204848551526</v>
      </c>
      <c r="I46" s="22">
        <v>8.2385864976543349E-2</v>
      </c>
      <c r="J46" s="16">
        <v>2.6800000000000001E-2</v>
      </c>
      <c r="K46" s="14">
        <v>0.97319999999999995</v>
      </c>
      <c r="L46" s="15">
        <v>1.1496640623775801E-2</v>
      </c>
      <c r="M46" s="15">
        <f t="shared" si="18"/>
        <v>0.98850335937622424</v>
      </c>
      <c r="N46" s="17">
        <v>9.5789373635859251E-2</v>
      </c>
    </row>
    <row r="47" spans="2:14" ht="15" thickBot="1" x14ac:dyDescent="0.35">
      <c r="B47" s="48"/>
      <c r="C47" s="27">
        <v>298.2</v>
      </c>
      <c r="D47" s="25">
        <v>250000</v>
      </c>
      <c r="E47" s="18">
        <v>6.5100000000000005E-2</v>
      </c>
      <c r="F47" s="19">
        <v>0.93489999999999995</v>
      </c>
      <c r="G47" s="20">
        <v>2.8568543777676005E-2</v>
      </c>
      <c r="H47" s="20">
        <f t="shared" si="17"/>
        <v>0.97143145622232396</v>
      </c>
      <c r="I47" s="23">
        <v>0.23803152622626234</v>
      </c>
      <c r="J47" s="18">
        <v>7.4399999999999994E-2</v>
      </c>
      <c r="K47" s="19">
        <v>0.92559999999999998</v>
      </c>
      <c r="L47" s="20">
        <v>3.2833044258510427E-2</v>
      </c>
      <c r="M47" s="20">
        <f t="shared" si="18"/>
        <v>0.96716695574148959</v>
      </c>
      <c r="N47" s="21">
        <v>0.27356310830286978</v>
      </c>
    </row>
    <row r="83" spans="12:12" x14ac:dyDescent="0.3">
      <c r="L83" s="12"/>
    </row>
  </sheetData>
  <mergeCells count="7">
    <mergeCell ref="B46:B47"/>
    <mergeCell ref="B41:D41"/>
    <mergeCell ref="A1:M1"/>
    <mergeCell ref="A10:M10"/>
    <mergeCell ref="J41:N41"/>
    <mergeCell ref="E41:I41"/>
    <mergeCell ref="B44:B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garciadiego</dc:creator>
  <cp:lastModifiedBy>alejandro garciadiego</cp:lastModifiedBy>
  <dcterms:created xsi:type="dcterms:W3CDTF">2021-03-13T00:15:27Z</dcterms:created>
  <dcterms:modified xsi:type="dcterms:W3CDTF">2021-09-08T20:47:58Z</dcterms:modified>
</cp:coreProperties>
</file>