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7d0e272dd2d022/Documents/Multicomponent Project/"/>
    </mc:Choice>
  </mc:AlternateContent>
  <xr:revisionPtr revIDLastSave="0" documentId="8_{4B2BC164-0810-4218-AF5E-4592B7698B74}" xr6:coauthVersionLast="47" xr6:coauthVersionMax="47" xr10:uidLastSave="{00000000-0000-0000-0000-000000000000}"/>
  <bookViews>
    <workbookView xWindow="-96" yWindow="-96" windowWidth="23232" windowHeight="12432" xr2:uid="{FB353DE4-0DA3-4BE4-AF05-93F9E7FCBE9D}"/>
  </bookViews>
  <sheets>
    <sheet name="KCl 9.5.23" sheetId="8" r:id="rId1"/>
    <sheet name="NdCl3 9.6.23" sheetId="20" r:id="rId2"/>
    <sheet name="KCl+NdCl3 9.6.23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0" l="1"/>
  <c r="J4" i="20" s="1"/>
  <c r="I5" i="20"/>
  <c r="J5" i="20" s="1"/>
  <c r="I6" i="20"/>
  <c r="I7" i="20"/>
  <c r="I8" i="20"/>
  <c r="I9" i="20"/>
  <c r="I10" i="20"/>
  <c r="J10" i="20" s="1"/>
  <c r="I11" i="20"/>
  <c r="I12" i="20"/>
  <c r="J12" i="20" s="1"/>
  <c r="I13" i="20"/>
  <c r="J13" i="20" s="1"/>
  <c r="I14" i="20"/>
  <c r="I15" i="20"/>
  <c r="I16" i="20"/>
  <c r="J16" i="20" s="1"/>
  <c r="I17" i="20"/>
  <c r="I3" i="20"/>
  <c r="J3" i="20" s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" i="20"/>
  <c r="D3" i="18"/>
  <c r="J3" i="18"/>
  <c r="I4" i="8"/>
  <c r="J4" i="8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3" i="8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12" i="20"/>
  <c r="O2" i="20"/>
  <c r="J6" i="20"/>
  <c r="J7" i="20"/>
  <c r="J8" i="20"/>
  <c r="J1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J15" i="20"/>
  <c r="O14" i="20"/>
  <c r="J14" i="20"/>
  <c r="O13" i="20"/>
  <c r="O12" i="20"/>
  <c r="J11" i="20"/>
  <c r="J9" i="20"/>
  <c r="O7" i="20"/>
  <c r="Q21" i="20" s="1"/>
  <c r="O6" i="20"/>
  <c r="Q22" i="20" s="1"/>
  <c r="O4" i="20"/>
  <c r="O3" i="20"/>
  <c r="P13" i="8"/>
  <c r="P14" i="8"/>
  <c r="Q14" i="8" s="1"/>
  <c r="P15" i="8"/>
  <c r="P16" i="8"/>
  <c r="P17" i="8"/>
  <c r="Q17" i="8" s="1"/>
  <c r="P18" i="8"/>
  <c r="P19" i="8"/>
  <c r="Q19" i="8" s="1"/>
  <c r="P20" i="8"/>
  <c r="P21" i="8"/>
  <c r="P22" i="8"/>
  <c r="P23" i="8"/>
  <c r="P24" i="8"/>
  <c r="P25" i="8"/>
  <c r="P26" i="8"/>
  <c r="P12" i="8"/>
  <c r="O26" i="8"/>
  <c r="Q26" i="8" s="1"/>
  <c r="O25" i="8"/>
  <c r="Q25" i="8" s="1"/>
  <c r="O24" i="8"/>
  <c r="Q24" i="8" s="1"/>
  <c r="O23" i="8"/>
  <c r="Q23" i="8" s="1"/>
  <c r="O22" i="8"/>
  <c r="Q22" i="8" s="1"/>
  <c r="O21" i="8"/>
  <c r="Q21" i="8" s="1"/>
  <c r="Q20" i="8"/>
  <c r="O20" i="8"/>
  <c r="O19" i="8"/>
  <c r="O18" i="8"/>
  <c r="O17" i="8"/>
  <c r="O16" i="8"/>
  <c r="O15" i="8"/>
  <c r="O14" i="8"/>
  <c r="O13" i="8"/>
  <c r="O12" i="8"/>
  <c r="O7" i="8"/>
  <c r="O6" i="8"/>
  <c r="O4" i="8"/>
  <c r="O3" i="8"/>
  <c r="O2" i="8"/>
  <c r="Q17" i="20" l="1"/>
  <c r="Q12" i="20"/>
  <c r="Q23" i="20"/>
  <c r="Q14" i="20"/>
  <c r="Q18" i="20"/>
  <c r="Q15" i="20"/>
  <c r="Q24" i="20"/>
  <c r="Q19" i="20"/>
  <c r="Q13" i="20"/>
  <c r="Q25" i="20"/>
  <c r="Q20" i="20"/>
  <c r="Q16" i="20"/>
  <c r="Q26" i="20"/>
  <c r="Q15" i="8"/>
  <c r="Q13" i="8"/>
  <c r="Q18" i="8"/>
  <c r="Q16" i="8"/>
  <c r="Q12" i="8"/>
  <c r="Q4" i="18" l="1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3" i="18"/>
  <c r="K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3" i="8"/>
</calcChain>
</file>

<file path=xl/sharedStrings.xml><?xml version="1.0" encoding="utf-8"?>
<sst xmlns="http://schemas.openxmlformats.org/spreadsheetml/2006/main" count="65" uniqueCount="33">
  <si>
    <t>Concentration (mM)</t>
  </si>
  <si>
    <t>Conductivity reading (uS/cm)</t>
  </si>
  <si>
    <t>Concentration (mmol/L)</t>
  </si>
  <si>
    <t>Conductivity (uS/cm)</t>
  </si>
  <si>
    <t>Avogadros number</t>
  </si>
  <si>
    <t>T (K)</t>
  </si>
  <si>
    <t>boltzmann constant</t>
  </si>
  <si>
    <t>electric charge</t>
  </si>
  <si>
    <t>zK+</t>
  </si>
  <si>
    <t>zCl-</t>
  </si>
  <si>
    <t>Diff. coef. K+ (m^2/s)</t>
  </si>
  <si>
    <t>Diff. coef. Cl- (m^2/s)</t>
  </si>
  <si>
    <t>Diff. coef. Nd3+ (m^2/s)</t>
  </si>
  <si>
    <t>zNd3+</t>
  </si>
  <si>
    <t>Experimenal Data</t>
  </si>
  <si>
    <t>Conductivity (S/cm)</t>
  </si>
  <si>
    <t>Theoretical Data</t>
  </si>
  <si>
    <t>Concentration (mole/m^3)</t>
  </si>
  <si>
    <t>Equation used is from the reference: Electrical conductivity of mixed electrolytes modeling within the mean spherical approximation - equation 1 assuming the parenthetical terms are negligible.</t>
  </si>
  <si>
    <t>Residuals</t>
  </si>
  <si>
    <t>Experimental Conductivity (uS/cm)</t>
  </si>
  <si>
    <t>Residual without intercept</t>
  </si>
  <si>
    <t>Experimenal Data (KCl:NdCl3)</t>
  </si>
  <si>
    <t xml:space="preserve">conductivity = 482.9+105.6*[KCl]+218.9*[NdCl3] </t>
  </si>
  <si>
    <t>NdCl3 Concentration (mM)</t>
  </si>
  <si>
    <t>KCl Concentration (mM)</t>
  </si>
  <si>
    <t>Concentration (mM) setting y-int=0</t>
  </si>
  <si>
    <t xml:space="preserve">Calculated/Theoretical Conductivity setting y-int=0 (uS/cm) </t>
  </si>
  <si>
    <t>*For La3+ but similar enough</t>
  </si>
  <si>
    <t>From MATLAB curve fitting app:</t>
  </si>
  <si>
    <t xml:space="preserve">KCl Concentration setting y-int=0 (mM) </t>
  </si>
  <si>
    <t>NdCl3 Concentration settig y-int=0 (mM)</t>
  </si>
  <si>
    <t>Bulk conductivity reading (uS/cm)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</si>
</sst>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Alignment="1"/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Alignment="1">
      <alignment horizontal="center" wrapText="1"/>
    </xf>
    <xf numFmtId="0" fontId="0" fillId="3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2" fontId="0" fillId="4" borderId="0" xfId="0" applyNumberFormat="1" applyFill="1"/>
    <xf numFmtId="0" fontId="0" fillId="4" borderId="0" xfId="0" applyFill="1"/>
    <xf numFmtId="0" fontId="0" fillId="4" borderId="0" xfId="0" applyFill="1" applyBorder="1" applyAlignment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KCl</a:t>
            </a:r>
            <a:r>
              <a:rPr lang="en-US" baseline="0">
                <a:solidFill>
                  <a:sysClr val="windowText" lastClr="000000"/>
                </a:solidFill>
              </a:rPr>
              <a:t> calibration curve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63977341596248"/>
          <c:y val="4.98494665891223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12270341207348"/>
          <c:y val="5.0925925925925923E-2"/>
          <c:w val="0.80855205599300084"/>
          <c:h val="0.8222069116360455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2760778760195158E-2"/>
                  <c:y val="0.48961406109440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'KCl 9.5.23'!$A$3:$A$17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'KCl 9.5.23'!$B$3:$B$17</c:f>
              <c:numCache>
                <c:formatCode>0.00</c:formatCode>
                <c:ptCount val="15"/>
                <c:pt idx="0">
                  <c:v>0.88</c:v>
                </c:pt>
                <c:pt idx="1">
                  <c:v>272.04000000000002</c:v>
                </c:pt>
                <c:pt idx="2">
                  <c:v>530.48</c:v>
                </c:pt>
                <c:pt idx="3">
                  <c:v>794.86</c:v>
                </c:pt>
                <c:pt idx="4" formatCode="0.0">
                  <c:v>1055.0999999999999</c:v>
                </c:pt>
                <c:pt idx="5" formatCode="0.0">
                  <c:v>1286.5</c:v>
                </c:pt>
                <c:pt idx="6" formatCode="0.0">
                  <c:v>2601.9</c:v>
                </c:pt>
                <c:pt idx="7" formatCode="0.0">
                  <c:v>3850.1</c:v>
                </c:pt>
                <c:pt idx="8" formatCode="0.0">
                  <c:v>5090.6000000000004</c:v>
                </c:pt>
                <c:pt idx="9" formatCode="0.0">
                  <c:v>6268.6</c:v>
                </c:pt>
                <c:pt idx="10" formatCode="0.0">
                  <c:v>7488.8</c:v>
                </c:pt>
                <c:pt idx="11" formatCode="0.0">
                  <c:v>8620.2999999999993</c:v>
                </c:pt>
                <c:pt idx="12" formatCode="0.0">
                  <c:v>9866.1</c:v>
                </c:pt>
                <c:pt idx="13" formatCode="0.0">
                  <c:v>11024</c:v>
                </c:pt>
                <c:pt idx="14" formatCode="0.0">
                  <c:v>11944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7-463D-85F4-6D4682FB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51680"/>
        <c:axId val="1650335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Predicted</c:v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'KCl 9.5.23'!$A$46:$A$60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'KCl 9.5.23'!$G$46:$G$60</c15:sqref>
                        </c15:formulaRef>
                      </c:ext>
                    </c:extLst>
                    <c:numCache>
                      <c:formatCode>0.000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567-463D-85F4-6D4682FB1025}"/>
                  </c:ext>
                </c:extLst>
              </c15:ser>
            </c15:filteredScatterSeries>
          </c:ext>
        </c:extLst>
      </c:scatterChart>
      <c:valAx>
        <c:axId val="143855168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5680"/>
        <c:crosses val="autoZero"/>
        <c:crossBetween val="midCat"/>
      </c:valAx>
      <c:valAx>
        <c:axId val="16503356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Conductivity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516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1865808542201889"/>
          <c:y val="0.22652488992348835"/>
          <c:w val="0.20343426634643441"/>
          <c:h val="0.13030967350833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5558922832573"/>
          <c:y val="0.14555804207386752"/>
          <c:w val="0.7906376492225754"/>
          <c:h val="0.71157881140304524"/>
        </c:manualLayout>
      </c:layout>
      <c:scatterChart>
        <c:scatterStyle val="lineMarker"/>
        <c:varyColors val="0"/>
        <c:ser>
          <c:idx val="1"/>
          <c:order val="0"/>
          <c:tx>
            <c:v>Without intercept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'KCl 9.5.23'!$G$3:$G$17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'KCl 9.5.23'!$J$3:$J$17</c:f>
              <c:numCache>
                <c:formatCode>0.00</c:formatCode>
                <c:ptCount val="15"/>
                <c:pt idx="0">
                  <c:v>0.88</c:v>
                </c:pt>
                <c:pt idx="1">
                  <c:v>26.480000000000018</c:v>
                </c:pt>
                <c:pt idx="2">
                  <c:v>39.360000000000014</c:v>
                </c:pt>
                <c:pt idx="3">
                  <c:v>58.17999999999995</c:v>
                </c:pt>
                <c:pt idx="4">
                  <c:v>72.8599999999999</c:v>
                </c:pt>
                <c:pt idx="5">
                  <c:v>58.700000000000045</c:v>
                </c:pt>
                <c:pt idx="6">
                  <c:v>146.30000000000018</c:v>
                </c:pt>
                <c:pt idx="7">
                  <c:v>166.69999999999982</c:v>
                </c:pt>
                <c:pt idx="8">
                  <c:v>179.40000000000055</c:v>
                </c:pt>
                <c:pt idx="9">
                  <c:v>129.60000000000036</c:v>
                </c:pt>
                <c:pt idx="10">
                  <c:v>122</c:v>
                </c:pt>
                <c:pt idx="11">
                  <c:v>25.699999999998909</c:v>
                </c:pt>
                <c:pt idx="12">
                  <c:v>43.700000000000728</c:v>
                </c:pt>
                <c:pt idx="13">
                  <c:v>-26.200000000000728</c:v>
                </c:pt>
                <c:pt idx="14">
                  <c:v>-334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E-463D-808F-4F52DD31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2656"/>
        <c:axId val="256153776"/>
      </c:scatterChart>
      <c:valAx>
        <c:axId val="2561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53776"/>
        <c:crosses val="autoZero"/>
        <c:crossBetween val="midCat"/>
      </c:valAx>
      <c:valAx>
        <c:axId val="25615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KCl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864227792422"/>
          <c:y val="0.13737037037037036"/>
          <c:w val="0.84713395900139343"/>
          <c:h val="0.7315062700495771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'KCl 9.5.23'!$A$3:$A$17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'KCl 9.5.23'!$B$3:$B$17</c:f>
              <c:numCache>
                <c:formatCode>0.00</c:formatCode>
                <c:ptCount val="15"/>
                <c:pt idx="0">
                  <c:v>0.88</c:v>
                </c:pt>
                <c:pt idx="1">
                  <c:v>272.04000000000002</c:v>
                </c:pt>
                <c:pt idx="2">
                  <c:v>530.48</c:v>
                </c:pt>
                <c:pt idx="3">
                  <c:v>794.86</c:v>
                </c:pt>
                <c:pt idx="4" formatCode="0.0">
                  <c:v>1055.0999999999999</c:v>
                </c:pt>
                <c:pt idx="5" formatCode="0.0">
                  <c:v>1286.5</c:v>
                </c:pt>
                <c:pt idx="6" formatCode="0.0">
                  <c:v>2601.9</c:v>
                </c:pt>
                <c:pt idx="7" formatCode="0.0">
                  <c:v>3850.1</c:v>
                </c:pt>
                <c:pt idx="8" formatCode="0.0">
                  <c:v>5090.6000000000004</c:v>
                </c:pt>
                <c:pt idx="9" formatCode="0.0">
                  <c:v>6268.6</c:v>
                </c:pt>
                <c:pt idx="10" formatCode="0.0">
                  <c:v>7488.8</c:v>
                </c:pt>
                <c:pt idx="11" formatCode="0.0">
                  <c:v>8620.2999999999993</c:v>
                </c:pt>
                <c:pt idx="12" formatCode="0.0">
                  <c:v>9866.1</c:v>
                </c:pt>
                <c:pt idx="13" formatCode="0.0">
                  <c:v>11024</c:v>
                </c:pt>
                <c:pt idx="14" formatCode="0.0">
                  <c:v>11944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5-40A8-B77D-A2AE0886E5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'KCl 9.5.23'!$N$12:$N$26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'KCl 9.5.23'!$Q$12:$Q$26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299.52989465993716</c:v>
                </c:pt>
                <c:pt idx="2">
                  <c:v>599.05978931987431</c:v>
                </c:pt>
                <c:pt idx="3">
                  <c:v>898.58968397981141</c:v>
                </c:pt>
                <c:pt idx="4">
                  <c:v>1198.1195786397486</c:v>
                </c:pt>
                <c:pt idx="5">
                  <c:v>1497.6494732996857</c:v>
                </c:pt>
                <c:pt idx="6">
                  <c:v>2995.2989465993714</c:v>
                </c:pt>
                <c:pt idx="7">
                  <c:v>4492.9484198990567</c:v>
                </c:pt>
                <c:pt idx="8">
                  <c:v>5990.5978931987429</c:v>
                </c:pt>
                <c:pt idx="9">
                  <c:v>7488.2473664984282</c:v>
                </c:pt>
                <c:pt idx="10">
                  <c:v>8985.8968397981134</c:v>
                </c:pt>
                <c:pt idx="11">
                  <c:v>10483.546313097801</c:v>
                </c:pt>
                <c:pt idx="12">
                  <c:v>11981.195786397486</c:v>
                </c:pt>
                <c:pt idx="13">
                  <c:v>13478.845259697171</c:v>
                </c:pt>
                <c:pt idx="14">
                  <c:v>14976.494732996856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5-40A8-B77D-A2AE0886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58304"/>
        <c:axId val="986062144"/>
      </c:scatterChart>
      <c:valAx>
        <c:axId val="98605830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62144"/>
        <c:crosses val="autoZero"/>
        <c:crossBetween val="midCat"/>
      </c:valAx>
      <c:valAx>
        <c:axId val="98606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Conductivity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28850125077643"/>
          <c:y val="0.54136978710994454"/>
          <c:w val="0.16320199060356541"/>
          <c:h val="0.12500087489063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NdCl3 calibration curve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63977341596248"/>
          <c:y val="4.98494665891223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12270341207348"/>
          <c:y val="5.0925925925925923E-2"/>
          <c:w val="0.80855205599300084"/>
          <c:h val="0.82220691163604553"/>
        </c:manualLayout>
      </c:layout>
      <c:scatterChart>
        <c:scatterStyle val="lineMarker"/>
        <c:varyColors val="0"/>
        <c:ser>
          <c:idx val="1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2760778760195158E-2"/>
                  <c:y val="0.48961406109440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'NdCl3 9.6.23'!$A$3:$A$17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'NdCl3 9.6.23'!$B$3:$B$17</c:f>
              <c:numCache>
                <c:formatCode>0.00</c:formatCode>
                <c:ptCount val="15"/>
                <c:pt idx="0">
                  <c:v>0.9</c:v>
                </c:pt>
                <c:pt idx="1">
                  <c:v>678.27</c:v>
                </c:pt>
                <c:pt idx="2">
                  <c:v>1242.9000000000001</c:v>
                </c:pt>
                <c:pt idx="3">
                  <c:v>1849.8</c:v>
                </c:pt>
                <c:pt idx="4" formatCode="0.0">
                  <c:v>2420.5</c:v>
                </c:pt>
                <c:pt idx="5" formatCode="0.0">
                  <c:v>2965.9</c:v>
                </c:pt>
                <c:pt idx="6" formatCode="0.0">
                  <c:v>5579.6</c:v>
                </c:pt>
                <c:pt idx="7" formatCode="0.0">
                  <c:v>8140.1</c:v>
                </c:pt>
                <c:pt idx="8" formatCode="0.0">
                  <c:v>10551</c:v>
                </c:pt>
                <c:pt idx="9" formatCode="0.0">
                  <c:v>12797</c:v>
                </c:pt>
                <c:pt idx="10" formatCode="0.0">
                  <c:v>15116</c:v>
                </c:pt>
                <c:pt idx="11" formatCode="0.0">
                  <c:v>17432</c:v>
                </c:pt>
                <c:pt idx="12" formatCode="0.0">
                  <c:v>19684</c:v>
                </c:pt>
                <c:pt idx="13" formatCode="0.0">
                  <c:v>21888</c:v>
                </c:pt>
                <c:pt idx="14" formatCode="0.0">
                  <c:v>24068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B-4B20-A3F7-490789FA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51680"/>
        <c:axId val="1650335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Predicted</c:v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'NdCl3 9.6.23'!$A$46:$A$60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'NdCl3 9.6.23'!$G$46:$G$60</c15:sqref>
                        </c15:formulaRef>
                      </c:ext>
                    </c:extLst>
                    <c:numCache>
                      <c:formatCode>0.000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00B-4B20-A3F7-490789FA9BEB}"/>
                  </c:ext>
                </c:extLst>
              </c15:ser>
            </c15:filteredScatterSeries>
          </c:ext>
        </c:extLst>
      </c:scatterChart>
      <c:valAx>
        <c:axId val="143855168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5680"/>
        <c:crosses val="autoZero"/>
        <c:crossBetween val="midCat"/>
      </c:valAx>
      <c:valAx>
        <c:axId val="16503356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Conductivity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516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1865808542201889"/>
          <c:y val="0.22652488992348835"/>
          <c:w val="0.20343426634643441"/>
          <c:h val="0.13030967350833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5558922832573"/>
          <c:y val="0.14555804207386752"/>
          <c:w val="0.7906376492225754"/>
          <c:h val="0.71157881140304524"/>
        </c:manualLayout>
      </c:layout>
      <c:scatterChart>
        <c:scatterStyle val="lineMarker"/>
        <c:varyColors val="0"/>
        <c:ser>
          <c:idx val="1"/>
          <c:order val="0"/>
          <c:tx>
            <c:v>Without intercept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'NdCl3 9.6.23'!$G$3:$G$17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'NdCl3 9.6.23'!$J$3:$J$17</c:f>
              <c:numCache>
                <c:formatCode>0.00</c:formatCode>
                <c:ptCount val="15"/>
                <c:pt idx="0">
                  <c:v>0.9</c:v>
                </c:pt>
                <c:pt idx="1">
                  <c:v>183.04999999999995</c:v>
                </c:pt>
                <c:pt idx="2">
                  <c:v>252.46000000000004</c:v>
                </c:pt>
                <c:pt idx="3">
                  <c:v>364.13999999999987</c:v>
                </c:pt>
                <c:pt idx="4">
                  <c:v>439.61999999999989</c:v>
                </c:pt>
                <c:pt idx="5">
                  <c:v>489.79999999999973</c:v>
                </c:pt>
                <c:pt idx="6">
                  <c:v>627.39999999999964</c:v>
                </c:pt>
                <c:pt idx="7">
                  <c:v>711.80000000000018</c:v>
                </c:pt>
                <c:pt idx="8">
                  <c:v>646.59999999999854</c:v>
                </c:pt>
                <c:pt idx="9">
                  <c:v>416.5</c:v>
                </c:pt>
                <c:pt idx="10">
                  <c:v>259.39999999999964</c:v>
                </c:pt>
                <c:pt idx="11">
                  <c:v>99.299999999999272</c:v>
                </c:pt>
                <c:pt idx="12">
                  <c:v>-124.80000000000291</c:v>
                </c:pt>
                <c:pt idx="13">
                  <c:v>-396.90000000000146</c:v>
                </c:pt>
                <c:pt idx="14">
                  <c:v>-693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40AB-918B-D5548E9B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2656"/>
        <c:axId val="256153776"/>
      </c:scatterChart>
      <c:valAx>
        <c:axId val="2561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53776"/>
        <c:crosses val="autoZero"/>
        <c:crossBetween val="midCat"/>
      </c:valAx>
      <c:valAx>
        <c:axId val="25615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NdCl3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864227792422"/>
          <c:y val="0.13737037037037036"/>
          <c:w val="0.84713395900139343"/>
          <c:h val="0.7315062700495771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'NdCl3 9.6.23'!$A$3:$A$17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'NdCl3 9.6.23'!$B$3:$B$17</c:f>
              <c:numCache>
                <c:formatCode>0.00</c:formatCode>
                <c:ptCount val="15"/>
                <c:pt idx="0">
                  <c:v>0.9</c:v>
                </c:pt>
                <c:pt idx="1">
                  <c:v>678.27</c:v>
                </c:pt>
                <c:pt idx="2">
                  <c:v>1242.9000000000001</c:v>
                </c:pt>
                <c:pt idx="3">
                  <c:v>1849.8</c:v>
                </c:pt>
                <c:pt idx="4" formatCode="0.0">
                  <c:v>2420.5</c:v>
                </c:pt>
                <c:pt idx="5" formatCode="0.0">
                  <c:v>2965.9</c:v>
                </c:pt>
                <c:pt idx="6" formatCode="0.0">
                  <c:v>5579.6</c:v>
                </c:pt>
                <c:pt idx="7" formatCode="0.0">
                  <c:v>8140.1</c:v>
                </c:pt>
                <c:pt idx="8" formatCode="0.0">
                  <c:v>10551</c:v>
                </c:pt>
                <c:pt idx="9" formatCode="0.0">
                  <c:v>12797</c:v>
                </c:pt>
                <c:pt idx="10" formatCode="0.0">
                  <c:v>15116</c:v>
                </c:pt>
                <c:pt idx="11" formatCode="0.0">
                  <c:v>17432</c:v>
                </c:pt>
                <c:pt idx="12" formatCode="0.0">
                  <c:v>19684</c:v>
                </c:pt>
                <c:pt idx="13" formatCode="0.0">
                  <c:v>21888</c:v>
                </c:pt>
                <c:pt idx="14" formatCode="0.0">
                  <c:v>24068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B-4B10-B23A-905E85BAEAD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'NdCl3 9.6.23'!$N$12:$N$26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'NdCl3 9.6.23'!$Q$12:$Q$26</c:f>
              <c:numCache>
                <c:formatCode>0.00</c:formatCode>
                <c:ptCount val="15"/>
                <c:pt idx="0">
                  <c:v>0</c:v>
                </c:pt>
                <c:pt idx="1">
                  <c:v>876.06863926853794</c:v>
                </c:pt>
                <c:pt idx="2">
                  <c:v>1752.1372785370759</c:v>
                </c:pt>
                <c:pt idx="3">
                  <c:v>2628.2059178056138</c:v>
                </c:pt>
                <c:pt idx="4">
                  <c:v>3504.2745570741517</c:v>
                </c:pt>
                <c:pt idx="5">
                  <c:v>4380.3431963426901</c:v>
                </c:pt>
                <c:pt idx="6">
                  <c:v>8760.6863926853803</c:v>
                </c:pt>
                <c:pt idx="7">
                  <c:v>13141.02958902807</c:v>
                </c:pt>
                <c:pt idx="8">
                  <c:v>17521.372785370761</c:v>
                </c:pt>
                <c:pt idx="9">
                  <c:v>21901.715981713452</c:v>
                </c:pt>
                <c:pt idx="10">
                  <c:v>26282.059178056141</c:v>
                </c:pt>
                <c:pt idx="11">
                  <c:v>30662.402374398829</c:v>
                </c:pt>
                <c:pt idx="12">
                  <c:v>35042.745570741521</c:v>
                </c:pt>
                <c:pt idx="13">
                  <c:v>39423.088767084213</c:v>
                </c:pt>
                <c:pt idx="14">
                  <c:v>43803.431963426905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B-4B10-B23A-905E85BA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58304"/>
        <c:axId val="986062144"/>
      </c:scatterChart>
      <c:valAx>
        <c:axId val="98605830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62144"/>
        <c:crosses val="autoZero"/>
        <c:crossBetween val="midCat"/>
      </c:valAx>
      <c:valAx>
        <c:axId val="98606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Conductivity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26291489683188"/>
          <c:y val="0.2821105278506853"/>
          <c:w val="0.16737773449960547"/>
          <c:h val="0.12500087489063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31754</xdr:colOff>
      <xdr:row>17</xdr:row>
      <xdr:rowOff>103185</xdr:rowOff>
    </xdr:from>
    <xdr:to>
      <xdr:col>3</xdr:col>
      <xdr:colOff>993776</xdr:colOff>
      <xdr:row>34</xdr:row>
      <xdr:rowOff>130176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BE47F-5FC7-3DF1-BEED-C233E9E49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18</xdr:row>
      <xdr:rowOff>108108</xdr:rowOff>
    </xdr:from>
    <xdr:to>
      <xdr:col>10</xdr:col>
      <xdr:colOff>509587</xdr:colOff>
      <xdr:row>35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E5F96-975B-3F09-68C7-9488FD85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26</xdr:row>
      <xdr:rowOff>177800</xdr:rowOff>
    </xdr:from>
    <xdr:to>
      <xdr:col>17</xdr:col>
      <xdr:colOff>552450</xdr:colOff>
      <xdr:row>45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C3DDA4-2F32-9202-1F67-20516A80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31754</xdr:colOff>
      <xdr:row>17</xdr:row>
      <xdr:rowOff>103185</xdr:rowOff>
    </xdr:from>
    <xdr:to>
      <xdr:col>3</xdr:col>
      <xdr:colOff>993776</xdr:colOff>
      <xdr:row>34</xdr:row>
      <xdr:rowOff>130176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49089-9E6A-41E6-9187-709CA2C9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18</xdr:row>
      <xdr:rowOff>108108</xdr:rowOff>
    </xdr:from>
    <xdr:to>
      <xdr:col>10</xdr:col>
      <xdr:colOff>509587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4EA77-1B8F-4C90-B9D0-8D7B12726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26</xdr:row>
      <xdr:rowOff>177800</xdr:rowOff>
    </xdr:from>
    <xdr:to>
      <xdr:col>17</xdr:col>
      <xdr:colOff>552450</xdr:colOff>
      <xdr:row>45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252A6-E1D7-4A50-9DFF-56DA90820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102597</xdr:colOff>
      <xdr:row>20</xdr:row>
      <xdr:rowOff>32113</xdr:rowOff>
    </xdr:from>
    <xdr:to>
      <xdr:col>13</xdr:col>
      <xdr:colOff>775063</xdr:colOff>
      <xdr:row>49</xdr:row>
      <xdr:rowOff>124878</xdr:rowOff>
    </xdr:to>
    <xdr:pic>
      <xdr:nvPicPr>
        <xdr:cNvPr id="4" name="Picture 3" descr="A diagram of a complex of different types of substances&#10;&#10;Description automatically generated with medium confidence">
          <a:extLst>
            <a:ext uri="{FF2B5EF4-FFF2-40B4-BE49-F238E27FC236}">
              <a16:creationId xmlns:a16="http://schemas.microsoft.com/office/drawing/2014/main" id="{EBD62326-6FD8-2562-B420-CB9383F2E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6068" y="4277542"/>
          <a:ext cx="7035166" cy="5459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DAAD-2CE7-4426-A612-3990DD7F77AB}">
  <dimension ref="A1:S60"/>
  <sheetViews>
    <sheetView tabSelected="1" zoomScale="60" zoomScaleNormal="60" workbookViewId="0">
      <selection activeCell="B12" sqref="B12"/>
    </sheetView>
  </sheetViews>
  <sheetFormatPr defaultRowHeight="14.4" x14ac:dyDescent="0.55000000000000004"/>
  <cols>
    <col min="1" max="1" width="17.41796875" bestFit="1" customWidth="1"/>
    <col min="2" max="2" width="22.68359375" bestFit="1" customWidth="1"/>
    <col min="3" max="4" width="17.41796875" customWidth="1"/>
    <col min="5" max="5" width="17.41796875" style="24" customWidth="1"/>
    <col min="6" max="6" width="17.41796875" customWidth="1"/>
    <col min="7" max="7" width="13.05078125" customWidth="1"/>
    <col min="8" max="8" width="12.5234375" customWidth="1"/>
    <col min="9" max="9" width="19.47265625" customWidth="1"/>
    <col min="10" max="10" width="11.7890625" customWidth="1"/>
    <col min="11" max="11" width="11.05078125" bestFit="1" customWidth="1"/>
    <col min="12" max="12" width="18.578125" style="20" bestFit="1" customWidth="1"/>
    <col min="13" max="13" width="18.83984375" customWidth="1"/>
    <col min="14" max="14" width="17.41796875" bestFit="1" customWidth="1"/>
    <col min="15" max="15" width="14.05078125" customWidth="1"/>
    <col min="16" max="16" width="20.47265625" customWidth="1"/>
    <col min="17" max="17" width="15.15625" customWidth="1"/>
    <col min="19" max="19" width="14" customWidth="1"/>
  </cols>
  <sheetData>
    <row r="1" spans="1:19" x14ac:dyDescent="0.55000000000000004">
      <c r="A1" s="6" t="s">
        <v>14</v>
      </c>
      <c r="B1" s="7"/>
      <c r="C1" s="8"/>
      <c r="D1" s="11"/>
      <c r="E1" s="21"/>
      <c r="G1" s="6" t="s">
        <v>19</v>
      </c>
      <c r="H1" s="7"/>
      <c r="I1" s="7"/>
      <c r="J1" s="8"/>
      <c r="N1" s="6" t="s">
        <v>16</v>
      </c>
      <c r="O1" s="7"/>
      <c r="P1" s="7"/>
      <c r="Q1" s="8"/>
      <c r="R1" s="14"/>
      <c r="S1" s="14"/>
    </row>
    <row r="2" spans="1:19" ht="43.2" x14ac:dyDescent="0.55000000000000004">
      <c r="A2" s="3" t="s">
        <v>0</v>
      </c>
      <c r="B2" s="3" t="s">
        <v>1</v>
      </c>
      <c r="C2" s="3" t="s">
        <v>26</v>
      </c>
      <c r="D2" s="19"/>
      <c r="E2" s="22"/>
      <c r="G2" s="3" t="s">
        <v>0</v>
      </c>
      <c r="H2" s="3" t="s">
        <v>20</v>
      </c>
      <c r="I2" s="3" t="s">
        <v>27</v>
      </c>
      <c r="J2" s="3" t="s">
        <v>21</v>
      </c>
      <c r="N2" t="s">
        <v>10</v>
      </c>
      <c r="O2">
        <f>0.00000000196</f>
        <v>1.9599999999999998E-9</v>
      </c>
      <c r="S2" s="2"/>
    </row>
    <row r="3" spans="1:19" ht="14.4" customHeight="1" x14ac:dyDescent="0.55000000000000004">
      <c r="A3">
        <v>0</v>
      </c>
      <c r="B3" s="2">
        <v>0.88</v>
      </c>
      <c r="C3" s="2">
        <f>B3/122.78</f>
        <v>7.1672910897540316E-3</v>
      </c>
      <c r="D3" s="2"/>
      <c r="E3" s="23"/>
      <c r="G3">
        <v>0</v>
      </c>
      <c r="H3" s="2">
        <v>0.88</v>
      </c>
      <c r="I3" s="2">
        <f>122.78*G3</f>
        <v>0</v>
      </c>
      <c r="J3" s="2">
        <f>H3-I3</f>
        <v>0.88</v>
      </c>
      <c r="N3" t="s">
        <v>11</v>
      </c>
      <c r="O3">
        <f>0.00000000203</f>
        <v>2.0299999999999998E-9</v>
      </c>
      <c r="P3" s="28" t="s">
        <v>18</v>
      </c>
      <c r="Q3" s="28"/>
      <c r="R3" s="4"/>
      <c r="S3" s="4"/>
    </row>
    <row r="4" spans="1:19" x14ac:dyDescent="0.55000000000000004">
      <c r="A4">
        <v>2</v>
      </c>
      <c r="B4" s="2">
        <v>272.04000000000002</v>
      </c>
      <c r="C4" s="2">
        <f t="shared" ref="C4:C17" si="0">B4/122.78</f>
        <v>2.2156703046098714</v>
      </c>
      <c r="D4" s="2"/>
      <c r="E4" s="23"/>
      <c r="G4">
        <v>2</v>
      </c>
      <c r="H4" s="2">
        <v>272.04000000000002</v>
      </c>
      <c r="I4" s="2">
        <f t="shared" ref="I4:I17" si="1">122.78*G4</f>
        <v>245.56</v>
      </c>
      <c r="J4" s="2">
        <f>H4-I4</f>
        <v>26.480000000000018</v>
      </c>
      <c r="N4" t="s">
        <v>4</v>
      </c>
      <c r="O4">
        <f>6.022E+23</f>
        <v>6.0220000000000003E+23</v>
      </c>
      <c r="P4" s="28"/>
      <c r="Q4" s="28"/>
      <c r="R4" s="4"/>
      <c r="S4" s="4"/>
    </row>
    <row r="5" spans="1:19" x14ac:dyDescent="0.55000000000000004">
      <c r="A5">
        <v>4</v>
      </c>
      <c r="B5" s="2">
        <v>530.48</v>
      </c>
      <c r="C5" s="2">
        <f t="shared" si="0"/>
        <v>4.3205733832871802</v>
      </c>
      <c r="D5" s="2"/>
      <c r="E5" s="23"/>
      <c r="G5">
        <v>4</v>
      </c>
      <c r="H5" s="2">
        <v>530.48</v>
      </c>
      <c r="I5" s="2">
        <f t="shared" si="1"/>
        <v>491.12</v>
      </c>
      <c r="J5" s="2">
        <f>H5-I5</f>
        <v>39.360000000000014</v>
      </c>
      <c r="N5" t="s">
        <v>5</v>
      </c>
      <c r="O5">
        <v>298.14999999999998</v>
      </c>
      <c r="P5" s="28"/>
      <c r="Q5" s="28"/>
      <c r="R5" s="4"/>
      <c r="S5" s="4"/>
    </row>
    <row r="6" spans="1:19" x14ac:dyDescent="0.55000000000000004">
      <c r="A6">
        <v>6</v>
      </c>
      <c r="B6" s="2">
        <v>794.86</v>
      </c>
      <c r="C6" s="2">
        <f t="shared" si="0"/>
        <v>6.473855676820329</v>
      </c>
      <c r="D6" s="2"/>
      <c r="E6" s="23"/>
      <c r="G6">
        <v>6</v>
      </c>
      <c r="H6" s="2">
        <v>794.86</v>
      </c>
      <c r="I6" s="2">
        <f t="shared" si="1"/>
        <v>736.68000000000006</v>
      </c>
      <c r="J6" s="2">
        <f>H6-I6</f>
        <v>58.17999999999995</v>
      </c>
      <c r="N6" t="s">
        <v>6</v>
      </c>
      <c r="O6">
        <f>1.381E-23</f>
        <v>1.3809999999999999E-23</v>
      </c>
      <c r="P6" s="28"/>
      <c r="Q6" s="28"/>
      <c r="R6" s="4"/>
      <c r="S6" s="4"/>
    </row>
    <row r="7" spans="1:19" x14ac:dyDescent="0.55000000000000004">
      <c r="A7">
        <v>8</v>
      </c>
      <c r="B7" s="1">
        <v>1055.0999999999999</v>
      </c>
      <c r="C7" s="2">
        <f t="shared" si="0"/>
        <v>8.5934191236357709</v>
      </c>
      <c r="D7" s="2"/>
      <c r="E7" s="23"/>
      <c r="G7">
        <v>8</v>
      </c>
      <c r="H7" s="1">
        <v>1055.0999999999999</v>
      </c>
      <c r="I7" s="2">
        <f t="shared" si="1"/>
        <v>982.24</v>
      </c>
      <c r="J7" s="2">
        <f>H7-I7</f>
        <v>72.8599999999999</v>
      </c>
      <c r="N7" t="s">
        <v>7</v>
      </c>
      <c r="O7">
        <f>1.602E-19</f>
        <v>1.602E-19</v>
      </c>
      <c r="P7" s="28"/>
      <c r="Q7" s="28"/>
      <c r="R7" s="4"/>
      <c r="S7" s="4"/>
    </row>
    <row r="8" spans="1:19" x14ac:dyDescent="0.55000000000000004">
      <c r="A8">
        <v>10</v>
      </c>
      <c r="B8" s="1">
        <v>1286.5</v>
      </c>
      <c r="C8" s="2">
        <f t="shared" si="0"/>
        <v>10.478090894282456</v>
      </c>
      <c r="D8" s="2"/>
      <c r="E8" s="23"/>
      <c r="G8">
        <v>10</v>
      </c>
      <c r="H8" s="1">
        <v>1286.5</v>
      </c>
      <c r="I8" s="2">
        <f t="shared" si="1"/>
        <v>1227.8</v>
      </c>
      <c r="J8" s="2">
        <f>H8-I8</f>
        <v>58.700000000000045</v>
      </c>
      <c r="N8" t="s">
        <v>8</v>
      </c>
      <c r="O8">
        <v>1</v>
      </c>
      <c r="P8" s="28"/>
      <c r="Q8" s="28"/>
      <c r="R8" s="4"/>
      <c r="S8" s="4"/>
    </row>
    <row r="9" spans="1:19" x14ac:dyDescent="0.55000000000000004">
      <c r="A9">
        <v>20</v>
      </c>
      <c r="B9" s="1">
        <v>2601.9</v>
      </c>
      <c r="C9" s="2">
        <f t="shared" si="0"/>
        <v>21.191562143671607</v>
      </c>
      <c r="D9" s="2"/>
      <c r="E9" s="23"/>
      <c r="G9">
        <v>20</v>
      </c>
      <c r="H9" s="1">
        <v>2601.9</v>
      </c>
      <c r="I9" s="2">
        <f t="shared" si="1"/>
        <v>2455.6</v>
      </c>
      <c r="J9" s="2">
        <f>H9-I9</f>
        <v>146.30000000000018</v>
      </c>
      <c r="N9" t="s">
        <v>9</v>
      </c>
      <c r="O9">
        <v>-1</v>
      </c>
      <c r="P9" s="28"/>
      <c r="Q9" s="28"/>
      <c r="R9" s="4"/>
      <c r="S9" s="4"/>
    </row>
    <row r="10" spans="1:19" x14ac:dyDescent="0.55000000000000004">
      <c r="A10">
        <v>30</v>
      </c>
      <c r="B10" s="1">
        <v>3850.1</v>
      </c>
      <c r="C10" s="2">
        <f t="shared" si="0"/>
        <v>31.357712982570451</v>
      </c>
      <c r="D10" s="2"/>
      <c r="E10" s="23"/>
      <c r="G10">
        <v>30</v>
      </c>
      <c r="H10" s="1">
        <v>3850.1</v>
      </c>
      <c r="I10" s="2">
        <f t="shared" si="1"/>
        <v>3683.4</v>
      </c>
      <c r="J10" s="2">
        <f>H10-I10</f>
        <v>166.69999999999982</v>
      </c>
    </row>
    <row r="11" spans="1:19" ht="43.2" x14ac:dyDescent="0.55000000000000004">
      <c r="A11">
        <v>40</v>
      </c>
      <c r="B11" s="1">
        <v>5090.6000000000004</v>
      </c>
      <c r="C11" s="2">
        <f t="shared" si="0"/>
        <v>41.461150024433948</v>
      </c>
      <c r="D11" s="2"/>
      <c r="E11" s="23"/>
      <c r="G11">
        <v>40</v>
      </c>
      <c r="H11" s="1">
        <v>5090.6000000000004</v>
      </c>
      <c r="I11" s="2">
        <f t="shared" si="1"/>
        <v>4911.2</v>
      </c>
      <c r="J11" s="2">
        <f>H11-I11</f>
        <v>179.40000000000055</v>
      </c>
      <c r="N11" s="3" t="s">
        <v>2</v>
      </c>
      <c r="O11" s="4" t="s">
        <v>17</v>
      </c>
      <c r="P11" s="3" t="s">
        <v>15</v>
      </c>
      <c r="Q11" s="3" t="s">
        <v>3</v>
      </c>
      <c r="R11" s="3"/>
    </row>
    <row r="12" spans="1:19" x14ac:dyDescent="0.55000000000000004">
      <c r="A12">
        <v>50</v>
      </c>
      <c r="B12" s="1">
        <v>6268.6</v>
      </c>
      <c r="C12" s="2">
        <f t="shared" si="0"/>
        <v>51.0555465059456</v>
      </c>
      <c r="D12" s="2"/>
      <c r="E12" s="23"/>
      <c r="G12">
        <v>50</v>
      </c>
      <c r="H12" s="1">
        <v>6268.6</v>
      </c>
      <c r="I12" s="2">
        <f t="shared" si="1"/>
        <v>6139</v>
      </c>
      <c r="J12" s="2">
        <f>H12-I12</f>
        <v>129.60000000000036</v>
      </c>
      <c r="N12">
        <v>0</v>
      </c>
      <c r="O12">
        <f>N12*1000/1000</f>
        <v>0</v>
      </c>
      <c r="P12">
        <f>($O$7^2/($O$6*$O$5))*((O12*$O$2*$O$4*$O$8^2)+(O12*$O$3*$O$4*$O$9^2))</f>
        <v>0</v>
      </c>
      <c r="Q12">
        <f>P12*10^4</f>
        <v>0</v>
      </c>
    </row>
    <row r="13" spans="1:19" x14ac:dyDescent="0.55000000000000004">
      <c r="A13">
        <v>60</v>
      </c>
      <c r="B13" s="1">
        <v>7488.8</v>
      </c>
      <c r="C13" s="2">
        <f t="shared" si="0"/>
        <v>60.993647173806806</v>
      </c>
      <c r="D13" s="2"/>
      <c r="E13" s="23"/>
      <c r="G13">
        <v>60</v>
      </c>
      <c r="H13" s="1">
        <v>7488.8</v>
      </c>
      <c r="I13" s="2">
        <f t="shared" si="1"/>
        <v>7366.8</v>
      </c>
      <c r="J13" s="2">
        <f>H13-I13</f>
        <v>122</v>
      </c>
      <c r="N13">
        <v>2</v>
      </c>
      <c r="O13">
        <f t="shared" ref="O13:O26" si="2">N13*1000/1000</f>
        <v>2</v>
      </c>
      <c r="P13" s="2">
        <f t="shared" ref="P13:P26" si="3">($O$7^2/($O$6*$O$5))*((O13*$O$2*$O$4*$O$8^2)+(O13*$O$3*$O$4*$O$9^2))</f>
        <v>2.9952989465993715E-2</v>
      </c>
      <c r="Q13" s="2">
        <f>P13*10^4</f>
        <v>299.52989465993716</v>
      </c>
    </row>
    <row r="14" spans="1:19" x14ac:dyDescent="0.55000000000000004">
      <c r="A14">
        <v>70</v>
      </c>
      <c r="B14" s="1">
        <v>8620.2999999999993</v>
      </c>
      <c r="C14" s="2">
        <f t="shared" si="0"/>
        <v>70.209317478416679</v>
      </c>
      <c r="D14" s="2"/>
      <c r="E14" s="23"/>
      <c r="G14">
        <v>70</v>
      </c>
      <c r="H14" s="1">
        <v>8620.2999999999993</v>
      </c>
      <c r="I14" s="2">
        <f t="shared" si="1"/>
        <v>8594.6</v>
      </c>
      <c r="J14" s="2">
        <f>H14-I14</f>
        <v>25.699999999998909</v>
      </c>
      <c r="N14">
        <v>4</v>
      </c>
      <c r="O14">
        <f t="shared" si="2"/>
        <v>4</v>
      </c>
      <c r="P14" s="2">
        <f t="shared" si="3"/>
        <v>5.990597893198743E-2</v>
      </c>
      <c r="Q14" s="2">
        <f>P14*10^4</f>
        <v>599.05978931987431</v>
      </c>
    </row>
    <row r="15" spans="1:19" x14ac:dyDescent="0.55000000000000004">
      <c r="A15">
        <v>80</v>
      </c>
      <c r="B15" s="1">
        <v>9866.1</v>
      </c>
      <c r="C15" s="2">
        <f t="shared" si="0"/>
        <v>80.355921159798015</v>
      </c>
      <c r="D15" s="2"/>
      <c r="E15" s="23"/>
      <c r="G15">
        <v>80</v>
      </c>
      <c r="H15" s="1">
        <v>9866.1</v>
      </c>
      <c r="I15" s="2">
        <f t="shared" si="1"/>
        <v>9822.4</v>
      </c>
      <c r="J15" s="2">
        <f>H15-I15</f>
        <v>43.700000000000728</v>
      </c>
      <c r="N15">
        <v>6</v>
      </c>
      <c r="O15">
        <f t="shared" si="2"/>
        <v>6</v>
      </c>
      <c r="P15" s="2">
        <f t="shared" si="3"/>
        <v>8.9858968397981145E-2</v>
      </c>
      <c r="Q15" s="2">
        <f>P15*10^4</f>
        <v>898.58968397981141</v>
      </c>
    </row>
    <row r="16" spans="1:19" x14ac:dyDescent="0.55000000000000004">
      <c r="A16">
        <v>90</v>
      </c>
      <c r="B16" s="1">
        <v>11024</v>
      </c>
      <c r="C16" s="2">
        <f t="shared" si="0"/>
        <v>89.786610197100501</v>
      </c>
      <c r="D16" s="2"/>
      <c r="E16" s="23"/>
      <c r="G16">
        <v>90</v>
      </c>
      <c r="H16" s="1">
        <v>11024</v>
      </c>
      <c r="I16" s="2">
        <f t="shared" si="1"/>
        <v>11050.2</v>
      </c>
      <c r="J16" s="2">
        <f>H16-I16</f>
        <v>-26.200000000000728</v>
      </c>
      <c r="N16">
        <v>8</v>
      </c>
      <c r="O16">
        <f t="shared" si="2"/>
        <v>8</v>
      </c>
      <c r="P16" s="2">
        <f t="shared" si="3"/>
        <v>0.11981195786397486</v>
      </c>
      <c r="Q16" s="2">
        <f>P16*10^4</f>
        <v>1198.1195786397486</v>
      </c>
    </row>
    <row r="17" spans="1:17" x14ac:dyDescent="0.55000000000000004">
      <c r="A17">
        <v>100</v>
      </c>
      <c r="B17" s="1">
        <v>11944</v>
      </c>
      <c r="C17" s="2">
        <f t="shared" si="0"/>
        <v>97.279687245479721</v>
      </c>
      <c r="D17" s="2"/>
      <c r="E17" s="23"/>
      <c r="G17">
        <v>100</v>
      </c>
      <c r="H17" s="1">
        <v>11944</v>
      </c>
      <c r="I17" s="2">
        <f t="shared" si="1"/>
        <v>12278</v>
      </c>
      <c r="J17" s="2">
        <f>H17-I17</f>
        <v>-334</v>
      </c>
      <c r="N17">
        <v>10</v>
      </c>
      <c r="O17">
        <f t="shared" si="2"/>
        <v>10</v>
      </c>
      <c r="P17" s="2">
        <f t="shared" si="3"/>
        <v>0.14976494732996856</v>
      </c>
      <c r="Q17" s="2">
        <f>P17*10^4</f>
        <v>1497.6494732996857</v>
      </c>
    </row>
    <row r="18" spans="1:17" x14ac:dyDescent="0.55000000000000004">
      <c r="B18" s="1"/>
      <c r="G18" s="2"/>
      <c r="N18">
        <v>20</v>
      </c>
      <c r="O18">
        <f t="shared" si="2"/>
        <v>20</v>
      </c>
      <c r="P18" s="2">
        <f t="shared" si="3"/>
        <v>0.29952989465993712</v>
      </c>
      <c r="Q18" s="2">
        <f>P18*10^4</f>
        <v>2995.2989465993714</v>
      </c>
    </row>
    <row r="19" spans="1:17" x14ac:dyDescent="0.55000000000000004">
      <c r="N19">
        <v>30</v>
      </c>
      <c r="O19">
        <f t="shared" si="2"/>
        <v>30</v>
      </c>
      <c r="P19" s="2">
        <f t="shared" si="3"/>
        <v>0.44929484198990571</v>
      </c>
      <c r="Q19" s="2">
        <f>P19*10^4</f>
        <v>4492.9484198990567</v>
      </c>
    </row>
    <row r="20" spans="1:17" x14ac:dyDescent="0.55000000000000004">
      <c r="N20">
        <v>40</v>
      </c>
      <c r="O20">
        <f t="shared" si="2"/>
        <v>40</v>
      </c>
      <c r="P20" s="2">
        <f t="shared" si="3"/>
        <v>0.59905978931987425</v>
      </c>
      <c r="Q20" s="2">
        <f>P20*10^4</f>
        <v>5990.5978931987429</v>
      </c>
    </row>
    <row r="21" spans="1:17" x14ac:dyDescent="0.55000000000000004">
      <c r="N21">
        <v>50</v>
      </c>
      <c r="O21">
        <f t="shared" si="2"/>
        <v>50</v>
      </c>
      <c r="P21" s="2">
        <f t="shared" si="3"/>
        <v>0.74882473664984284</v>
      </c>
      <c r="Q21" s="2">
        <f>P21*10^4</f>
        <v>7488.2473664984282</v>
      </c>
    </row>
    <row r="22" spans="1:17" x14ac:dyDescent="0.55000000000000004">
      <c r="N22">
        <v>60</v>
      </c>
      <c r="O22">
        <f t="shared" si="2"/>
        <v>60</v>
      </c>
      <c r="P22" s="2">
        <f t="shared" si="3"/>
        <v>0.89858968397981143</v>
      </c>
      <c r="Q22" s="2">
        <f>P22*10^4</f>
        <v>8985.8968397981134</v>
      </c>
    </row>
    <row r="23" spans="1:17" x14ac:dyDescent="0.55000000000000004">
      <c r="N23">
        <v>70</v>
      </c>
      <c r="O23">
        <f t="shared" si="2"/>
        <v>70</v>
      </c>
      <c r="P23" s="2">
        <f t="shared" si="3"/>
        <v>1.04835463130978</v>
      </c>
      <c r="Q23" s="2">
        <f>P23*10^4</f>
        <v>10483.546313097801</v>
      </c>
    </row>
    <row r="24" spans="1:17" x14ac:dyDescent="0.55000000000000004">
      <c r="N24">
        <v>80</v>
      </c>
      <c r="O24">
        <f t="shared" si="2"/>
        <v>80</v>
      </c>
      <c r="P24" s="2">
        <f t="shared" si="3"/>
        <v>1.1981195786397485</v>
      </c>
      <c r="Q24" s="2">
        <f>P24*10^4</f>
        <v>11981.195786397486</v>
      </c>
    </row>
    <row r="25" spans="1:17" x14ac:dyDescent="0.55000000000000004">
      <c r="N25">
        <v>90</v>
      </c>
      <c r="O25">
        <f t="shared" si="2"/>
        <v>90</v>
      </c>
      <c r="P25" s="2">
        <f t="shared" si="3"/>
        <v>1.3478845259697172</v>
      </c>
      <c r="Q25" s="2">
        <f>P25*10^4</f>
        <v>13478.845259697171</v>
      </c>
    </row>
    <row r="26" spans="1:17" x14ac:dyDescent="0.55000000000000004">
      <c r="N26">
        <v>100</v>
      </c>
      <c r="O26">
        <f t="shared" si="2"/>
        <v>100</v>
      </c>
      <c r="P26" s="2">
        <f t="shared" si="3"/>
        <v>1.4976494732996857</v>
      </c>
      <c r="Q26" s="2">
        <f>P26*10^4</f>
        <v>14976.494732996856</v>
      </c>
    </row>
    <row r="35" spans="1:7" x14ac:dyDescent="0.55000000000000004">
      <c r="A35" s="14"/>
      <c r="B35" s="14"/>
      <c r="C35" s="14"/>
      <c r="D35" s="14"/>
      <c r="E35" s="25"/>
      <c r="F35" s="14"/>
      <c r="G35" s="9"/>
    </row>
    <row r="36" spans="1:7" x14ac:dyDescent="0.55000000000000004">
      <c r="A36" s="18"/>
      <c r="B36" s="18"/>
      <c r="C36" s="18"/>
      <c r="D36" s="18"/>
      <c r="E36" s="26"/>
      <c r="F36" s="18"/>
      <c r="G36" s="2"/>
    </row>
    <row r="37" spans="1:7" ht="14.4" customHeight="1" x14ac:dyDescent="0.55000000000000004">
      <c r="C37" s="4"/>
      <c r="D37" s="4"/>
      <c r="E37" s="27"/>
      <c r="F37" s="4"/>
      <c r="G37" s="4"/>
    </row>
    <row r="38" spans="1:7" x14ac:dyDescent="0.55000000000000004">
      <c r="C38" s="4"/>
      <c r="D38" s="4"/>
      <c r="E38" s="27"/>
      <c r="F38" s="4"/>
      <c r="G38" s="4"/>
    </row>
    <row r="39" spans="1:7" x14ac:dyDescent="0.55000000000000004">
      <c r="C39" s="4"/>
      <c r="D39" s="4"/>
      <c r="E39" s="27"/>
      <c r="F39" s="4"/>
      <c r="G39" s="4"/>
    </row>
    <row r="40" spans="1:7" x14ac:dyDescent="0.55000000000000004">
      <c r="C40" s="4"/>
      <c r="D40" s="4"/>
      <c r="E40" s="27"/>
      <c r="F40" s="4"/>
      <c r="G40" s="4"/>
    </row>
    <row r="41" spans="1:7" x14ac:dyDescent="0.55000000000000004">
      <c r="C41" s="4"/>
      <c r="D41" s="4"/>
      <c r="E41" s="27"/>
      <c r="F41" s="4"/>
      <c r="G41" s="4"/>
    </row>
    <row r="42" spans="1:7" x14ac:dyDescent="0.55000000000000004">
      <c r="C42" s="4"/>
      <c r="D42" s="4"/>
      <c r="E42" s="27"/>
      <c r="F42" s="4"/>
      <c r="G42" s="4"/>
    </row>
    <row r="43" spans="1:7" x14ac:dyDescent="0.55000000000000004">
      <c r="C43" s="4"/>
      <c r="D43" s="4"/>
      <c r="E43" s="27"/>
      <c r="F43" s="4"/>
      <c r="G43" s="4"/>
    </row>
    <row r="45" spans="1:7" x14ac:dyDescent="0.55000000000000004">
      <c r="A45" s="3"/>
      <c r="C45" s="3"/>
      <c r="D45" s="3"/>
      <c r="E45" s="22"/>
      <c r="F45" s="3"/>
      <c r="G45" s="3"/>
    </row>
    <row r="47" spans="1:7" x14ac:dyDescent="0.55000000000000004">
      <c r="G47" s="5"/>
    </row>
    <row r="48" spans="1:7" x14ac:dyDescent="0.55000000000000004">
      <c r="G48" s="5"/>
    </row>
    <row r="49" spans="7:7" x14ac:dyDescent="0.55000000000000004">
      <c r="G49" s="5"/>
    </row>
    <row r="50" spans="7:7" x14ac:dyDescent="0.55000000000000004">
      <c r="G50" s="5"/>
    </row>
    <row r="51" spans="7:7" x14ac:dyDescent="0.55000000000000004">
      <c r="G51" s="5"/>
    </row>
    <row r="52" spans="7:7" x14ac:dyDescent="0.55000000000000004">
      <c r="G52" s="5"/>
    </row>
    <row r="53" spans="7:7" x14ac:dyDescent="0.55000000000000004">
      <c r="G53" s="5"/>
    </row>
    <row r="54" spans="7:7" x14ac:dyDescent="0.55000000000000004">
      <c r="G54" s="5"/>
    </row>
    <row r="55" spans="7:7" x14ac:dyDescent="0.55000000000000004">
      <c r="G55" s="5"/>
    </row>
    <row r="56" spans="7:7" x14ac:dyDescent="0.55000000000000004">
      <c r="G56" s="5"/>
    </row>
    <row r="57" spans="7:7" x14ac:dyDescent="0.55000000000000004">
      <c r="G57" s="5"/>
    </row>
    <row r="58" spans="7:7" x14ac:dyDescent="0.55000000000000004">
      <c r="G58" s="5"/>
    </row>
    <row r="59" spans="7:7" x14ac:dyDescent="0.55000000000000004">
      <c r="G59" s="5"/>
    </row>
    <row r="60" spans="7:7" x14ac:dyDescent="0.55000000000000004">
      <c r="G60" s="5"/>
    </row>
  </sheetData>
  <mergeCells count="4">
    <mergeCell ref="G1:J1"/>
    <mergeCell ref="A1:C1"/>
    <mergeCell ref="N1:Q1"/>
    <mergeCell ref="P3:Q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919A-94A8-4BF1-ABB9-88DC6E682398}">
  <dimension ref="A1:S60"/>
  <sheetViews>
    <sheetView zoomScale="60" zoomScaleNormal="60" workbookViewId="0">
      <selection activeCell="A2" sqref="A2"/>
    </sheetView>
  </sheetViews>
  <sheetFormatPr defaultRowHeight="14.4" x14ac:dyDescent="0.55000000000000004"/>
  <cols>
    <col min="1" max="1" width="17.41796875" bestFit="1" customWidth="1"/>
    <col min="2" max="2" width="22.68359375" bestFit="1" customWidth="1"/>
    <col min="3" max="4" width="17.41796875" customWidth="1"/>
    <col min="5" max="5" width="17.41796875" style="24" customWidth="1"/>
    <col min="6" max="6" width="17.41796875" customWidth="1"/>
    <col min="7" max="7" width="13.05078125" customWidth="1"/>
    <col min="8" max="8" width="12.5234375" customWidth="1"/>
    <col min="9" max="9" width="19.47265625" customWidth="1"/>
    <col min="10" max="10" width="11.7890625" customWidth="1"/>
    <col min="11" max="11" width="11.05078125" bestFit="1" customWidth="1"/>
    <col min="12" max="12" width="18.578125" style="20" bestFit="1" customWidth="1"/>
    <col min="13" max="13" width="18.83984375" customWidth="1"/>
    <col min="14" max="14" width="17.41796875" bestFit="1" customWidth="1"/>
    <col min="15" max="15" width="11.9453125" bestFit="1" customWidth="1"/>
    <col min="16" max="16" width="20.47265625" customWidth="1"/>
    <col min="17" max="17" width="15.15625" customWidth="1"/>
    <col min="19" max="19" width="14" customWidth="1"/>
  </cols>
  <sheetData>
    <row r="1" spans="1:19" x14ac:dyDescent="0.55000000000000004">
      <c r="A1" s="6" t="s">
        <v>14</v>
      </c>
      <c r="B1" s="7"/>
      <c r="C1" s="8"/>
      <c r="D1" s="11"/>
      <c r="E1" s="21"/>
      <c r="G1" s="6" t="s">
        <v>19</v>
      </c>
      <c r="H1" s="7"/>
      <c r="I1" s="7"/>
      <c r="J1" s="8"/>
      <c r="N1" s="6" t="s">
        <v>16</v>
      </c>
      <c r="O1" s="7"/>
      <c r="P1" s="7"/>
      <c r="Q1" s="8"/>
      <c r="R1" s="14"/>
      <c r="S1" s="14"/>
    </row>
    <row r="2" spans="1:19" ht="43.2" x14ac:dyDescent="0.55000000000000004">
      <c r="A2" s="3" t="s">
        <v>0</v>
      </c>
      <c r="B2" s="3" t="s">
        <v>1</v>
      </c>
      <c r="C2" s="3" t="s">
        <v>26</v>
      </c>
      <c r="D2" s="19"/>
      <c r="E2" s="22"/>
      <c r="G2" s="3" t="s">
        <v>0</v>
      </c>
      <c r="H2" s="3" t="s">
        <v>20</v>
      </c>
      <c r="I2" s="3" t="s">
        <v>27</v>
      </c>
      <c r="J2" s="3" t="s">
        <v>21</v>
      </c>
      <c r="N2" t="s">
        <v>12</v>
      </c>
      <c r="O2">
        <f>0.00000000062</f>
        <v>6.2000000000000003E-10</v>
      </c>
      <c r="P2" t="s">
        <v>28</v>
      </c>
      <c r="S2" s="2"/>
    </row>
    <row r="3" spans="1:19" ht="14.4" customHeight="1" x14ac:dyDescent="0.55000000000000004">
      <c r="A3">
        <v>0</v>
      </c>
      <c r="B3" s="2">
        <v>0.9</v>
      </c>
      <c r="C3" s="2">
        <f>B3/247.61</f>
        <v>3.6347481927224263E-3</v>
      </c>
      <c r="D3" s="2"/>
      <c r="E3" s="23"/>
      <c r="G3">
        <v>0</v>
      </c>
      <c r="H3" s="2">
        <v>0.9</v>
      </c>
      <c r="I3" s="2">
        <f>247.61*G3</f>
        <v>0</v>
      </c>
      <c r="J3" s="2">
        <f>H3-I3</f>
        <v>0.9</v>
      </c>
      <c r="N3" t="s">
        <v>11</v>
      </c>
      <c r="O3">
        <f>0.00000000203</f>
        <v>2.0299999999999998E-9</v>
      </c>
      <c r="P3" s="28" t="s">
        <v>18</v>
      </c>
      <c r="Q3" s="28"/>
      <c r="R3" s="4"/>
      <c r="S3" s="4"/>
    </row>
    <row r="4" spans="1:19" x14ac:dyDescent="0.55000000000000004">
      <c r="A4">
        <v>2</v>
      </c>
      <c r="B4" s="2">
        <v>678.27</v>
      </c>
      <c r="C4" s="2">
        <f t="shared" ref="C4:C17" si="0">B4/247.61</f>
        <v>2.7392673963087111</v>
      </c>
      <c r="D4" s="2"/>
      <c r="E4" s="23"/>
      <c r="G4">
        <v>2</v>
      </c>
      <c r="H4" s="2">
        <v>678.27</v>
      </c>
      <c r="I4" s="2">
        <f t="shared" ref="I4:I17" si="1">247.61*G4</f>
        <v>495.22</v>
      </c>
      <c r="J4" s="2">
        <f>H4-I4</f>
        <v>183.04999999999995</v>
      </c>
      <c r="N4" t="s">
        <v>4</v>
      </c>
      <c r="O4">
        <f>6.022E+23</f>
        <v>6.0220000000000003E+23</v>
      </c>
      <c r="P4" s="28"/>
      <c r="Q4" s="28"/>
      <c r="R4" s="4"/>
      <c r="S4" s="4"/>
    </row>
    <row r="5" spans="1:19" x14ac:dyDescent="0.55000000000000004">
      <c r="A5">
        <v>4</v>
      </c>
      <c r="B5" s="2">
        <v>1242.9000000000001</v>
      </c>
      <c r="C5" s="2">
        <f t="shared" si="0"/>
        <v>5.0195872541496707</v>
      </c>
      <c r="D5" s="2"/>
      <c r="E5" s="23"/>
      <c r="G5">
        <v>4</v>
      </c>
      <c r="H5" s="2">
        <v>1242.9000000000001</v>
      </c>
      <c r="I5" s="2">
        <f t="shared" si="1"/>
        <v>990.44</v>
      </c>
      <c r="J5" s="2">
        <f>H5-I5</f>
        <v>252.46000000000004</v>
      </c>
      <c r="N5" t="s">
        <v>5</v>
      </c>
      <c r="O5">
        <v>298.14999999999998</v>
      </c>
      <c r="P5" s="28"/>
      <c r="Q5" s="28"/>
      <c r="R5" s="4"/>
      <c r="S5" s="4"/>
    </row>
    <row r="6" spans="1:19" x14ac:dyDescent="0.55000000000000004">
      <c r="A6">
        <v>6</v>
      </c>
      <c r="B6" s="2">
        <v>1849.8</v>
      </c>
      <c r="C6" s="2">
        <f t="shared" si="0"/>
        <v>7.4706191187754936</v>
      </c>
      <c r="D6" s="2"/>
      <c r="E6" s="23"/>
      <c r="G6">
        <v>6</v>
      </c>
      <c r="H6" s="2">
        <v>1849.8</v>
      </c>
      <c r="I6" s="2">
        <f t="shared" si="1"/>
        <v>1485.66</v>
      </c>
      <c r="J6" s="2">
        <f>H6-I6</f>
        <v>364.13999999999987</v>
      </c>
      <c r="N6" t="s">
        <v>6</v>
      </c>
      <c r="O6">
        <f>1.381E-23</f>
        <v>1.3809999999999999E-23</v>
      </c>
      <c r="P6" s="28"/>
      <c r="Q6" s="28"/>
      <c r="R6" s="4"/>
      <c r="S6" s="4"/>
    </row>
    <row r="7" spans="1:19" x14ac:dyDescent="0.55000000000000004">
      <c r="A7">
        <v>8</v>
      </c>
      <c r="B7" s="1">
        <v>2420.5</v>
      </c>
      <c r="C7" s="2">
        <f t="shared" si="0"/>
        <v>9.7754533338718144</v>
      </c>
      <c r="D7" s="2"/>
      <c r="E7" s="23"/>
      <c r="G7">
        <v>8</v>
      </c>
      <c r="H7" s="1">
        <v>2420.5</v>
      </c>
      <c r="I7" s="2">
        <f t="shared" si="1"/>
        <v>1980.88</v>
      </c>
      <c r="J7" s="2">
        <f>H7-I7</f>
        <v>439.61999999999989</v>
      </c>
      <c r="N7" t="s">
        <v>7</v>
      </c>
      <c r="O7">
        <f>1.602E-19</f>
        <v>1.602E-19</v>
      </c>
      <c r="P7" s="28"/>
      <c r="Q7" s="28"/>
      <c r="R7" s="4"/>
      <c r="S7" s="4"/>
    </row>
    <row r="8" spans="1:19" x14ac:dyDescent="0.55000000000000004">
      <c r="A8">
        <v>10</v>
      </c>
      <c r="B8" s="1">
        <v>2965.9</v>
      </c>
      <c r="C8" s="2">
        <f t="shared" si="0"/>
        <v>11.978110738661604</v>
      </c>
      <c r="D8" s="2"/>
      <c r="E8" s="23"/>
      <c r="G8">
        <v>10</v>
      </c>
      <c r="H8" s="1">
        <v>2965.9</v>
      </c>
      <c r="I8" s="2">
        <f t="shared" si="1"/>
        <v>2476.1000000000004</v>
      </c>
      <c r="J8" s="2">
        <f>H8-I8</f>
        <v>489.79999999999973</v>
      </c>
      <c r="N8" t="s">
        <v>13</v>
      </c>
      <c r="O8">
        <v>3</v>
      </c>
      <c r="P8" s="28"/>
      <c r="Q8" s="28"/>
      <c r="R8" s="4"/>
      <c r="S8" s="4"/>
    </row>
    <row r="9" spans="1:19" x14ac:dyDescent="0.55000000000000004">
      <c r="A9">
        <v>20</v>
      </c>
      <c r="B9" s="1">
        <v>5579.6</v>
      </c>
      <c r="C9" s="2">
        <f t="shared" si="0"/>
        <v>22.533823351237835</v>
      </c>
      <c r="D9" s="2"/>
      <c r="E9" s="23"/>
      <c r="G9">
        <v>20</v>
      </c>
      <c r="H9" s="1">
        <v>5579.6</v>
      </c>
      <c r="I9" s="2">
        <f t="shared" si="1"/>
        <v>4952.2000000000007</v>
      </c>
      <c r="J9" s="2">
        <f>H9-I9</f>
        <v>627.39999999999964</v>
      </c>
      <c r="N9" t="s">
        <v>9</v>
      </c>
      <c r="O9">
        <v>-1</v>
      </c>
      <c r="P9" s="28"/>
      <c r="Q9" s="28"/>
      <c r="R9" s="4"/>
      <c r="S9" s="4"/>
    </row>
    <row r="10" spans="1:19" x14ac:dyDescent="0.55000000000000004">
      <c r="A10">
        <v>30</v>
      </c>
      <c r="B10" s="1">
        <v>8140.1</v>
      </c>
      <c r="C10" s="2">
        <f t="shared" si="0"/>
        <v>32.874681959533135</v>
      </c>
      <c r="D10" s="2"/>
      <c r="E10" s="23"/>
      <c r="G10">
        <v>30</v>
      </c>
      <c r="H10" s="1">
        <v>8140.1</v>
      </c>
      <c r="I10" s="2">
        <f t="shared" si="1"/>
        <v>7428.3</v>
      </c>
      <c r="J10" s="2">
        <f>H10-I10</f>
        <v>711.80000000000018</v>
      </c>
    </row>
    <row r="11" spans="1:19" ht="43.2" x14ac:dyDescent="0.55000000000000004">
      <c r="A11">
        <v>40</v>
      </c>
      <c r="B11" s="1">
        <v>10551</v>
      </c>
      <c r="C11" s="2">
        <f t="shared" si="0"/>
        <v>42.611364646015907</v>
      </c>
      <c r="D11" s="2"/>
      <c r="E11" s="23"/>
      <c r="G11">
        <v>40</v>
      </c>
      <c r="H11" s="1">
        <v>10551</v>
      </c>
      <c r="I11" s="2">
        <f t="shared" si="1"/>
        <v>9904.4000000000015</v>
      </c>
      <c r="J11" s="2">
        <f>H11-I11</f>
        <v>646.59999999999854</v>
      </c>
      <c r="N11" s="3" t="s">
        <v>2</v>
      </c>
      <c r="O11" s="4" t="s">
        <v>17</v>
      </c>
      <c r="P11" s="3" t="s">
        <v>15</v>
      </c>
      <c r="Q11" s="3" t="s">
        <v>3</v>
      </c>
      <c r="R11" s="3"/>
    </row>
    <row r="12" spans="1:19" x14ac:dyDescent="0.55000000000000004">
      <c r="A12">
        <v>50</v>
      </c>
      <c r="B12" s="1">
        <v>12797</v>
      </c>
      <c r="C12" s="2">
        <f t="shared" si="0"/>
        <v>51.682080691409872</v>
      </c>
      <c r="D12" s="2"/>
      <c r="E12" s="23"/>
      <c r="G12">
        <v>50</v>
      </c>
      <c r="H12" s="1">
        <v>12797</v>
      </c>
      <c r="I12" s="2">
        <f t="shared" si="1"/>
        <v>12380.5</v>
      </c>
      <c r="J12" s="2">
        <f>H12-I12</f>
        <v>416.5</v>
      </c>
      <c r="N12">
        <v>0</v>
      </c>
      <c r="O12">
        <f>N12*1000/1000</f>
        <v>0</v>
      </c>
      <c r="P12" s="2">
        <f>($O$7^2/($O$6*$O$5))*((O12*$O$2*$O$4*$O$8^2)+(3*O12*$O$3*$O$4*$O$9^2))</f>
        <v>0</v>
      </c>
      <c r="Q12" s="2">
        <f>P12*10^4</f>
        <v>0</v>
      </c>
    </row>
    <row r="13" spans="1:19" x14ac:dyDescent="0.55000000000000004">
      <c r="A13">
        <v>60</v>
      </c>
      <c r="B13" s="1">
        <v>15116</v>
      </c>
      <c r="C13" s="2">
        <f t="shared" si="0"/>
        <v>61.04761520132466</v>
      </c>
      <c r="D13" s="2"/>
      <c r="E13" s="23"/>
      <c r="G13">
        <v>60</v>
      </c>
      <c r="H13" s="1">
        <v>15116</v>
      </c>
      <c r="I13" s="2">
        <f t="shared" si="1"/>
        <v>14856.6</v>
      </c>
      <c r="J13" s="2">
        <f>H13-I13</f>
        <v>259.39999999999964</v>
      </c>
      <c r="N13">
        <v>2</v>
      </c>
      <c r="O13">
        <f t="shared" ref="O13:O26" si="2">N13*1000/1000</f>
        <v>2</v>
      </c>
      <c r="P13" s="2">
        <f t="shared" ref="P13:P26" si="3">($O$7^2/($O$6*$O$5))*((O13*$O$2*$O$4*$O$8^2)+(3*O13*$O$3*$O$4*$O$9^2))</f>
        <v>8.7606863926853795E-2</v>
      </c>
      <c r="Q13" s="2">
        <f>P13*10^4</f>
        <v>876.06863926853794</v>
      </c>
    </row>
    <row r="14" spans="1:19" x14ac:dyDescent="0.55000000000000004">
      <c r="A14">
        <v>70</v>
      </c>
      <c r="B14" s="1">
        <v>17432</v>
      </c>
      <c r="C14" s="2">
        <f t="shared" si="0"/>
        <v>70.401033883930367</v>
      </c>
      <c r="D14" s="2"/>
      <c r="E14" s="23"/>
      <c r="G14">
        <v>70</v>
      </c>
      <c r="H14" s="1">
        <v>17432</v>
      </c>
      <c r="I14" s="2">
        <f t="shared" si="1"/>
        <v>17332.7</v>
      </c>
      <c r="J14" s="2">
        <f>H14-I14</f>
        <v>99.299999999999272</v>
      </c>
      <c r="N14">
        <v>4</v>
      </c>
      <c r="O14">
        <f t="shared" si="2"/>
        <v>4</v>
      </c>
      <c r="P14" s="2">
        <f t="shared" si="3"/>
        <v>0.17521372785370759</v>
      </c>
      <c r="Q14" s="2">
        <f>P14*10^4</f>
        <v>1752.1372785370759</v>
      </c>
    </row>
    <row r="15" spans="1:19" x14ac:dyDescent="0.55000000000000004">
      <c r="A15">
        <v>80</v>
      </c>
      <c r="B15" s="1">
        <v>19684</v>
      </c>
      <c r="C15" s="2">
        <f t="shared" si="0"/>
        <v>79.495981583942481</v>
      </c>
      <c r="D15" s="2"/>
      <c r="E15" s="23"/>
      <c r="G15">
        <v>80</v>
      </c>
      <c r="H15" s="1">
        <v>19684</v>
      </c>
      <c r="I15" s="2">
        <f t="shared" si="1"/>
        <v>19808.800000000003</v>
      </c>
      <c r="J15" s="2">
        <f>H15-I15</f>
        <v>-124.80000000000291</v>
      </c>
      <c r="N15">
        <v>6</v>
      </c>
      <c r="O15">
        <f t="shared" si="2"/>
        <v>6</v>
      </c>
      <c r="P15" s="2">
        <f t="shared" si="3"/>
        <v>0.26282059178056139</v>
      </c>
      <c r="Q15" s="2">
        <f>P15*10^4</f>
        <v>2628.2059178056138</v>
      </c>
    </row>
    <row r="16" spans="1:19" x14ac:dyDescent="0.55000000000000004">
      <c r="A16">
        <v>90</v>
      </c>
      <c r="B16" s="1">
        <v>21888</v>
      </c>
      <c r="C16" s="2">
        <f t="shared" si="0"/>
        <v>88.397076047009406</v>
      </c>
      <c r="D16" s="2"/>
      <c r="E16" s="23"/>
      <c r="G16">
        <v>90</v>
      </c>
      <c r="H16" s="1">
        <v>21888</v>
      </c>
      <c r="I16" s="2">
        <f t="shared" si="1"/>
        <v>22284.9</v>
      </c>
      <c r="J16" s="2">
        <f>H16-I16</f>
        <v>-396.90000000000146</v>
      </c>
      <c r="N16">
        <v>8</v>
      </c>
      <c r="O16">
        <f t="shared" si="2"/>
        <v>8</v>
      </c>
      <c r="P16" s="2">
        <f t="shared" si="3"/>
        <v>0.35042745570741518</v>
      </c>
      <c r="Q16" s="2">
        <f>P16*10^4</f>
        <v>3504.2745570741517</v>
      </c>
    </row>
    <row r="17" spans="1:17" x14ac:dyDescent="0.55000000000000004">
      <c r="A17">
        <v>100</v>
      </c>
      <c r="B17" s="1">
        <v>24068</v>
      </c>
      <c r="C17" s="2">
        <f t="shared" si="0"/>
        <v>97.201243891603724</v>
      </c>
      <c r="D17" s="2"/>
      <c r="E17" s="23"/>
      <c r="G17">
        <v>100</v>
      </c>
      <c r="H17" s="1">
        <v>24068</v>
      </c>
      <c r="I17" s="2">
        <f t="shared" si="1"/>
        <v>24761</v>
      </c>
      <c r="J17" s="2">
        <f>H17-I17</f>
        <v>-693</v>
      </c>
      <c r="N17">
        <v>10</v>
      </c>
      <c r="O17">
        <f t="shared" si="2"/>
        <v>10</v>
      </c>
      <c r="P17" s="2">
        <f t="shared" si="3"/>
        <v>0.43803431963426898</v>
      </c>
      <c r="Q17" s="2">
        <f>P17*10^4</f>
        <v>4380.3431963426901</v>
      </c>
    </row>
    <row r="18" spans="1:17" x14ac:dyDescent="0.55000000000000004">
      <c r="B18" s="1"/>
      <c r="G18" s="2"/>
      <c r="N18">
        <v>20</v>
      </c>
      <c r="O18">
        <f t="shared" si="2"/>
        <v>20</v>
      </c>
      <c r="P18" s="2">
        <f t="shared" si="3"/>
        <v>0.87606863926853795</v>
      </c>
      <c r="Q18" s="2">
        <f>P18*10^4</f>
        <v>8760.6863926853803</v>
      </c>
    </row>
    <row r="19" spans="1:17" x14ac:dyDescent="0.55000000000000004">
      <c r="N19">
        <v>30</v>
      </c>
      <c r="O19">
        <f t="shared" si="2"/>
        <v>30</v>
      </c>
      <c r="P19" s="2">
        <f t="shared" si="3"/>
        <v>1.314102958902807</v>
      </c>
      <c r="Q19" s="2">
        <f>P19*10^4</f>
        <v>13141.02958902807</v>
      </c>
    </row>
    <row r="20" spans="1:17" x14ac:dyDescent="0.55000000000000004">
      <c r="N20">
        <v>40</v>
      </c>
      <c r="O20">
        <f t="shared" si="2"/>
        <v>40</v>
      </c>
      <c r="P20" s="2">
        <f t="shared" si="3"/>
        <v>1.7521372785370759</v>
      </c>
      <c r="Q20" s="2">
        <f>P20*10^4</f>
        <v>17521.372785370761</v>
      </c>
    </row>
    <row r="21" spans="1:17" x14ac:dyDescent="0.55000000000000004">
      <c r="N21">
        <v>50</v>
      </c>
      <c r="O21">
        <f t="shared" si="2"/>
        <v>50</v>
      </c>
      <c r="P21" s="2">
        <f t="shared" si="3"/>
        <v>2.1901715981713452</v>
      </c>
      <c r="Q21" s="2">
        <f>P21*10^4</f>
        <v>21901.715981713452</v>
      </c>
    </row>
    <row r="22" spans="1:17" x14ac:dyDescent="0.55000000000000004">
      <c r="N22">
        <v>60</v>
      </c>
      <c r="O22">
        <f t="shared" si="2"/>
        <v>60</v>
      </c>
      <c r="P22" s="2">
        <f t="shared" si="3"/>
        <v>2.6282059178056141</v>
      </c>
      <c r="Q22" s="2">
        <f>P22*10^4</f>
        <v>26282.059178056141</v>
      </c>
    </row>
    <row r="23" spans="1:17" x14ac:dyDescent="0.55000000000000004">
      <c r="N23">
        <v>70</v>
      </c>
      <c r="O23">
        <f t="shared" si="2"/>
        <v>70</v>
      </c>
      <c r="P23" s="2">
        <f t="shared" si="3"/>
        <v>3.0662402374398829</v>
      </c>
      <c r="Q23" s="2">
        <f>P23*10^4</f>
        <v>30662.402374398829</v>
      </c>
    </row>
    <row r="24" spans="1:17" x14ac:dyDescent="0.55000000000000004">
      <c r="N24">
        <v>80</v>
      </c>
      <c r="O24">
        <f t="shared" si="2"/>
        <v>80</v>
      </c>
      <c r="P24" s="2">
        <f t="shared" si="3"/>
        <v>3.5042745570741518</v>
      </c>
      <c r="Q24" s="2">
        <f>P24*10^4</f>
        <v>35042.745570741521</v>
      </c>
    </row>
    <row r="25" spans="1:17" x14ac:dyDescent="0.55000000000000004">
      <c r="N25">
        <v>90</v>
      </c>
      <c r="O25">
        <f t="shared" si="2"/>
        <v>90</v>
      </c>
      <c r="P25" s="2">
        <f t="shared" si="3"/>
        <v>3.9423088767084211</v>
      </c>
      <c r="Q25" s="2">
        <f>P25*10^4</f>
        <v>39423.088767084213</v>
      </c>
    </row>
    <row r="26" spans="1:17" x14ac:dyDescent="0.55000000000000004">
      <c r="N26">
        <v>100</v>
      </c>
      <c r="O26">
        <f t="shared" si="2"/>
        <v>100</v>
      </c>
      <c r="P26" s="2">
        <f t="shared" si="3"/>
        <v>4.3803431963426904</v>
      </c>
      <c r="Q26" s="2">
        <f>P26*10^4</f>
        <v>43803.431963426905</v>
      </c>
    </row>
    <row r="35" spans="1:7" x14ac:dyDescent="0.55000000000000004">
      <c r="A35" s="14"/>
      <c r="B35" s="14"/>
      <c r="C35" s="14"/>
      <c r="D35" s="14"/>
      <c r="E35" s="25"/>
      <c r="F35" s="14"/>
      <c r="G35" s="9"/>
    </row>
    <row r="36" spans="1:7" x14ac:dyDescent="0.55000000000000004">
      <c r="A36" s="18"/>
      <c r="B36" s="18"/>
      <c r="C36" s="18"/>
      <c r="D36" s="18"/>
      <c r="E36" s="26"/>
      <c r="F36" s="18"/>
      <c r="G36" s="2"/>
    </row>
    <row r="37" spans="1:7" ht="14.4" customHeight="1" x14ac:dyDescent="0.55000000000000004">
      <c r="C37" s="4"/>
      <c r="D37" s="4"/>
      <c r="E37" s="27"/>
      <c r="F37" s="4"/>
      <c r="G37" s="4"/>
    </row>
    <row r="38" spans="1:7" x14ac:dyDescent="0.55000000000000004">
      <c r="C38" s="4"/>
      <c r="D38" s="4"/>
      <c r="E38" s="27"/>
      <c r="F38" s="4"/>
      <c r="G38" s="4"/>
    </row>
    <row r="39" spans="1:7" x14ac:dyDescent="0.55000000000000004">
      <c r="C39" s="4"/>
      <c r="D39" s="4"/>
      <c r="E39" s="27"/>
      <c r="F39" s="4"/>
      <c r="G39" s="4"/>
    </row>
    <row r="40" spans="1:7" x14ac:dyDescent="0.55000000000000004">
      <c r="C40" s="4"/>
      <c r="D40" s="4"/>
      <c r="E40" s="27"/>
      <c r="F40" s="4"/>
      <c r="G40" s="4"/>
    </row>
    <row r="41" spans="1:7" x14ac:dyDescent="0.55000000000000004">
      <c r="C41" s="4"/>
      <c r="D41" s="4"/>
      <c r="E41" s="27"/>
      <c r="F41" s="4"/>
      <c r="G41" s="4"/>
    </row>
    <row r="42" spans="1:7" x14ac:dyDescent="0.55000000000000004">
      <c r="C42" s="4"/>
      <c r="D42" s="4"/>
      <c r="E42" s="27"/>
      <c r="F42" s="4"/>
      <c r="G42" s="4"/>
    </row>
    <row r="43" spans="1:7" x14ac:dyDescent="0.55000000000000004">
      <c r="C43" s="4"/>
      <c r="D43" s="4"/>
      <c r="E43" s="27"/>
      <c r="F43" s="4"/>
      <c r="G43" s="4"/>
    </row>
    <row r="45" spans="1:7" x14ac:dyDescent="0.55000000000000004">
      <c r="A45" s="3"/>
      <c r="C45" s="3"/>
      <c r="D45" s="3"/>
      <c r="E45" s="22"/>
      <c r="F45" s="3"/>
      <c r="G45" s="3"/>
    </row>
    <row r="47" spans="1:7" x14ac:dyDescent="0.55000000000000004">
      <c r="G47" s="5"/>
    </row>
    <row r="48" spans="1:7" x14ac:dyDescent="0.55000000000000004">
      <c r="G48" s="5"/>
    </row>
    <row r="49" spans="7:7" x14ac:dyDescent="0.55000000000000004">
      <c r="G49" s="5"/>
    </row>
    <row r="50" spans="7:7" x14ac:dyDescent="0.55000000000000004">
      <c r="G50" s="5"/>
    </row>
    <row r="51" spans="7:7" x14ac:dyDescent="0.55000000000000004">
      <c r="G51" s="5"/>
    </row>
    <row r="52" spans="7:7" x14ac:dyDescent="0.55000000000000004">
      <c r="G52" s="5"/>
    </row>
    <row r="53" spans="7:7" x14ac:dyDescent="0.55000000000000004">
      <c r="G53" s="5"/>
    </row>
    <row r="54" spans="7:7" x14ac:dyDescent="0.55000000000000004">
      <c r="G54" s="5"/>
    </row>
    <row r="55" spans="7:7" x14ac:dyDescent="0.55000000000000004">
      <c r="G55" s="5"/>
    </row>
    <row r="56" spans="7:7" x14ac:dyDescent="0.55000000000000004">
      <c r="G56" s="5"/>
    </row>
    <row r="57" spans="7:7" x14ac:dyDescent="0.55000000000000004">
      <c r="G57" s="5"/>
    </row>
    <row r="58" spans="7:7" x14ac:dyDescent="0.55000000000000004">
      <c r="G58" s="5"/>
    </row>
    <row r="59" spans="7:7" x14ac:dyDescent="0.55000000000000004">
      <c r="G59" s="5"/>
    </row>
    <row r="60" spans="7:7" x14ac:dyDescent="0.55000000000000004">
      <c r="G60" s="5"/>
    </row>
  </sheetData>
  <mergeCells count="4">
    <mergeCell ref="A1:C1"/>
    <mergeCell ref="G1:J1"/>
    <mergeCell ref="N1:Q1"/>
    <mergeCell ref="P3:Q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0EA7-BE4F-4037-8912-A389B028F90E}">
  <dimension ref="A1:Y31"/>
  <sheetViews>
    <sheetView zoomScale="70" zoomScaleNormal="70" workbookViewId="0">
      <selection activeCell="C22" sqref="C22"/>
    </sheetView>
  </sheetViews>
  <sheetFormatPr defaultRowHeight="14.4" x14ac:dyDescent="0.55000000000000004"/>
  <cols>
    <col min="1" max="1" width="13.89453125" customWidth="1"/>
    <col min="2" max="2" width="18.578125" bestFit="1" customWidth="1"/>
    <col min="3" max="3" width="25.47265625" customWidth="1"/>
    <col min="4" max="4" width="13.3125" customWidth="1"/>
    <col min="5" max="18" width="12.5234375" customWidth="1"/>
    <col min="20" max="20" width="11.05078125" bestFit="1" customWidth="1"/>
    <col min="21" max="21" width="18.62890625" customWidth="1"/>
    <col min="22" max="22" width="18.734375" customWidth="1"/>
    <col min="23" max="24" width="7.7890625" bestFit="1" customWidth="1"/>
  </cols>
  <sheetData>
    <row r="1" spans="1:25" x14ac:dyDescent="0.55000000000000004">
      <c r="A1" s="35"/>
      <c r="B1" s="7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11"/>
      <c r="S1" s="14"/>
      <c r="T1" s="14"/>
      <c r="U1" s="14"/>
      <c r="V1" s="14"/>
      <c r="W1" s="14"/>
      <c r="X1" s="14"/>
      <c r="Y1" s="15"/>
    </row>
    <row r="2" spans="1:25" ht="57.6" x14ac:dyDescent="0.55000000000000004">
      <c r="A2" s="32" t="s">
        <v>25</v>
      </c>
      <c r="B2" s="17" t="s">
        <v>24</v>
      </c>
      <c r="C2" s="3" t="s">
        <v>32</v>
      </c>
      <c r="D2" s="3" t="s">
        <v>30</v>
      </c>
      <c r="E2" s="3" t="s">
        <v>31</v>
      </c>
      <c r="F2" s="33"/>
      <c r="G2" s="3" t="s">
        <v>25</v>
      </c>
      <c r="H2" s="3" t="s">
        <v>24</v>
      </c>
      <c r="I2" s="3" t="s">
        <v>32</v>
      </c>
      <c r="J2" s="3" t="s">
        <v>30</v>
      </c>
      <c r="K2" s="3" t="s">
        <v>31</v>
      </c>
      <c r="L2" s="33"/>
      <c r="M2" s="3" t="s">
        <v>25</v>
      </c>
      <c r="N2" s="3" t="s">
        <v>24</v>
      </c>
      <c r="O2" s="3" t="s">
        <v>32</v>
      </c>
      <c r="P2" s="3" t="s">
        <v>30</v>
      </c>
      <c r="Q2" s="34" t="s">
        <v>31</v>
      </c>
      <c r="R2" s="3"/>
      <c r="S2" s="3"/>
      <c r="T2" s="3"/>
      <c r="U2" s="3"/>
      <c r="V2" s="3"/>
      <c r="W2" s="3"/>
      <c r="X2" s="3"/>
    </row>
    <row r="3" spans="1:25" x14ac:dyDescent="0.55000000000000004">
      <c r="A3" s="31">
        <v>0</v>
      </c>
      <c r="B3" s="31">
        <v>0</v>
      </c>
      <c r="C3">
        <v>0.52</v>
      </c>
      <c r="D3" s="2">
        <f>(C3-218.9*B3)/105.6</f>
        <v>4.9242424242424247E-3</v>
      </c>
      <c r="E3" s="2">
        <f>(C3-105.6*B3)/218.9</f>
        <v>2.3755139333028782E-3</v>
      </c>
      <c r="F3" s="30"/>
      <c r="G3" s="2">
        <v>0</v>
      </c>
      <c r="H3" s="2">
        <v>0</v>
      </c>
      <c r="I3">
        <v>0.56000000000000005</v>
      </c>
      <c r="J3" s="2">
        <f>(I3-218.9*H3)/105.6</f>
        <v>5.3030303030303042E-3</v>
      </c>
      <c r="K3" s="2">
        <f>(I3-105.6*G3)/218.9</f>
        <v>2.5582457743261763E-3</v>
      </c>
      <c r="L3" s="30"/>
      <c r="M3" s="2">
        <v>0</v>
      </c>
      <c r="N3" s="2">
        <v>0</v>
      </c>
      <c r="O3">
        <v>0.55000000000000004</v>
      </c>
      <c r="P3" s="2">
        <f>(O3-218.9*N3)/105.6</f>
        <v>5.2083333333333339E-3</v>
      </c>
      <c r="Q3" s="29">
        <f>(O3-105.6*M3)/218.9</f>
        <v>2.5125628140703518E-3</v>
      </c>
      <c r="R3" s="2"/>
    </row>
    <row r="4" spans="1:25" x14ac:dyDescent="0.55000000000000004">
      <c r="A4" s="31">
        <v>2.5641025641025643</v>
      </c>
      <c r="B4" s="31">
        <v>2.5641025641025643</v>
      </c>
      <c r="C4">
        <v>1156.7</v>
      </c>
      <c r="D4" s="2">
        <f>(C4-218.9*B4)/105.6</f>
        <v>5.638427544677544</v>
      </c>
      <c r="E4" s="2">
        <f>(C4-105.6*B4)/218.9</f>
        <v>4.0471940120181333</v>
      </c>
      <c r="F4" s="30"/>
      <c r="G4" s="2">
        <v>2.2222222222222223</v>
      </c>
      <c r="H4" s="2">
        <v>1.1111111111111112</v>
      </c>
      <c r="I4">
        <v>668.5</v>
      </c>
      <c r="J4" s="2">
        <f>(I4-218.9*H4)/105.6</f>
        <v>4.0272516835016834</v>
      </c>
      <c r="K4" s="2">
        <f>(I4-105.6*G4)/218.9</f>
        <v>1.9818790924318563</v>
      </c>
      <c r="L4" s="30"/>
      <c r="M4" s="2">
        <v>1.1111111111111112</v>
      </c>
      <c r="N4" s="2">
        <v>2.2222222222222223</v>
      </c>
      <c r="O4">
        <v>893.61</v>
      </c>
      <c r="P4" s="2">
        <f t="shared" ref="P4:P17" si="0">(O4-218.9*N4)/105.6</f>
        <v>3.8557344276094279</v>
      </c>
      <c r="Q4" s="29">
        <f t="shared" ref="Q4:Q17" si="1">(O4-105.6*M4)/218.9</f>
        <v>3.5462616110857317</v>
      </c>
      <c r="R4" s="2"/>
    </row>
    <row r="5" spans="1:25" x14ac:dyDescent="0.55000000000000004">
      <c r="A5" s="31">
        <v>4.166666666666667</v>
      </c>
      <c r="B5" s="31">
        <v>4.166666666666667</v>
      </c>
      <c r="C5">
        <v>1833.8</v>
      </c>
      <c r="D5" s="2">
        <f>(C5-218.9*B5)/105.6</f>
        <v>8.7283775252525242</v>
      </c>
      <c r="E5" s="2">
        <f>(C5-105.6*B5)/218.9</f>
        <v>6.3672910004568291</v>
      </c>
      <c r="F5" s="30"/>
      <c r="G5" s="2">
        <v>4</v>
      </c>
      <c r="H5" s="2">
        <v>2</v>
      </c>
      <c r="I5">
        <v>1170.5</v>
      </c>
      <c r="J5" s="2">
        <f>(I5-218.9*H5)/105.6</f>
        <v>6.9384469696969706</v>
      </c>
      <c r="K5" s="2">
        <f>(I5-105.6*G5)/218.9</f>
        <v>3.4175422567382365</v>
      </c>
      <c r="L5" s="30"/>
      <c r="M5" s="2">
        <v>2</v>
      </c>
      <c r="N5" s="2">
        <v>4</v>
      </c>
      <c r="O5">
        <v>1545.9</v>
      </c>
      <c r="P5" s="2">
        <f t="shared" si="0"/>
        <v>6.3475378787878798</v>
      </c>
      <c r="Q5" s="29">
        <f t="shared" si="1"/>
        <v>6.0973047053449063</v>
      </c>
      <c r="R5" s="2"/>
    </row>
    <row r="6" spans="1:25" x14ac:dyDescent="0.55000000000000004">
      <c r="A6" s="31">
        <v>6.25</v>
      </c>
      <c r="B6" s="31">
        <v>6.25</v>
      </c>
      <c r="C6">
        <v>2684</v>
      </c>
      <c r="D6" s="2">
        <f>(C6-218.9*B6)/105.6</f>
        <v>12.4609375</v>
      </c>
      <c r="E6" s="2">
        <f>(C6-105.6*B6)/218.9</f>
        <v>9.2462311557788937</v>
      </c>
      <c r="F6" s="30"/>
      <c r="G6" s="2">
        <v>8</v>
      </c>
      <c r="H6" s="2">
        <v>4</v>
      </c>
      <c r="I6">
        <v>2267.4</v>
      </c>
      <c r="J6" s="2">
        <f>(I6-218.9*H6)/105.6</f>
        <v>13.179924242424244</v>
      </c>
      <c r="K6" s="2">
        <f>(I6-105.6*G6)/218.9</f>
        <v>6.4988579259936046</v>
      </c>
      <c r="L6" s="30"/>
      <c r="M6" s="2">
        <v>4</v>
      </c>
      <c r="N6" s="2">
        <v>8</v>
      </c>
      <c r="O6">
        <v>2959.1</v>
      </c>
      <c r="P6" s="2">
        <f t="shared" si="0"/>
        <v>11.438446969696969</v>
      </c>
      <c r="Q6" s="29">
        <f t="shared" si="1"/>
        <v>11.58839652809502</v>
      </c>
      <c r="R6" s="2"/>
    </row>
    <row r="7" spans="1:25" x14ac:dyDescent="0.55000000000000004">
      <c r="A7" s="31">
        <v>8.3333333333333339</v>
      </c>
      <c r="B7" s="31">
        <v>8.3333333333333339</v>
      </c>
      <c r="C7">
        <v>3327.4</v>
      </c>
      <c r="D7" s="2">
        <f>(C7-218.9*B7)/105.6</f>
        <v>14.235164141414142</v>
      </c>
      <c r="E7" s="2">
        <f>(C7-105.6*B7)/218.9</f>
        <v>11.180447693010507</v>
      </c>
      <c r="F7" s="30"/>
      <c r="G7" s="2">
        <v>12.121212121212121</v>
      </c>
      <c r="H7" s="2">
        <v>6.0606060606060606</v>
      </c>
      <c r="I7">
        <v>3357.8</v>
      </c>
      <c r="J7" s="2">
        <f>(I7-218.9*H7)/105.6</f>
        <v>19.234217171717173</v>
      </c>
      <c r="K7" s="2">
        <f>(I7-105.6*G7)/218.9</f>
        <v>9.492005481955232</v>
      </c>
      <c r="L7" s="30"/>
      <c r="M7" s="2">
        <v>6.0606060606060606</v>
      </c>
      <c r="N7" s="2">
        <v>12.121212121212121</v>
      </c>
      <c r="O7">
        <v>4359.8999999999996</v>
      </c>
      <c r="P7" s="2">
        <f t="shared" si="0"/>
        <v>16.160669191919187</v>
      </c>
      <c r="Q7" s="29">
        <f t="shared" si="1"/>
        <v>16.993604385564183</v>
      </c>
      <c r="R7" s="2"/>
    </row>
    <row r="8" spans="1:25" x14ac:dyDescent="0.55000000000000004">
      <c r="A8" s="31">
        <v>10</v>
      </c>
      <c r="B8" s="31">
        <v>10</v>
      </c>
      <c r="C8">
        <v>4181</v>
      </c>
      <c r="D8" s="2">
        <f>(C8-218.9*B8)/105.6</f>
        <v>18.863636363636363</v>
      </c>
      <c r="E8" s="2">
        <f>(C8-105.6*B8)/218.9</f>
        <v>14.27592507994518</v>
      </c>
      <c r="F8" s="30"/>
      <c r="G8" s="2">
        <v>16</v>
      </c>
      <c r="H8" s="2">
        <v>8</v>
      </c>
      <c r="I8">
        <v>4377</v>
      </c>
      <c r="J8" s="2">
        <f>(I8-218.9*H8)/105.6</f>
        <v>24.865530303030305</v>
      </c>
      <c r="K8" s="2">
        <f>(I8-105.6*G8)/218.9</f>
        <v>12.276838739150296</v>
      </c>
      <c r="L8" s="30"/>
      <c r="M8" s="2">
        <v>8</v>
      </c>
      <c r="N8" s="2">
        <v>16</v>
      </c>
      <c r="O8">
        <v>5628.8</v>
      </c>
      <c r="P8" s="2">
        <f t="shared" si="0"/>
        <v>20.136363636363637</v>
      </c>
      <c r="Q8" s="29">
        <f t="shared" si="1"/>
        <v>21.854728186386478</v>
      </c>
      <c r="R8" s="2"/>
    </row>
    <row r="9" spans="1:25" x14ac:dyDescent="0.55000000000000004">
      <c r="A9" s="31">
        <v>20</v>
      </c>
      <c r="B9" s="31">
        <v>20</v>
      </c>
      <c r="C9">
        <v>8631.5</v>
      </c>
      <c r="D9" s="2">
        <f>(C9-218.9*B9)/105.6</f>
        <v>40.279356060606062</v>
      </c>
      <c r="E9" s="2">
        <f>(C9-105.6*B9)/218.9</f>
        <v>29.783005938784832</v>
      </c>
      <c r="F9" s="30"/>
      <c r="G9" s="2">
        <v>20</v>
      </c>
      <c r="H9" s="2">
        <v>10</v>
      </c>
      <c r="I9">
        <v>5397.1</v>
      </c>
      <c r="J9" s="2">
        <f>(I9-218.9*H9)/105.6</f>
        <v>30.379734848484855</v>
      </c>
      <c r="K9" s="2">
        <f>(I9-105.6*G9)/218.9</f>
        <v>15.007309273640933</v>
      </c>
      <c r="L9" s="30"/>
      <c r="M9" s="2">
        <v>10</v>
      </c>
      <c r="N9" s="2">
        <v>20</v>
      </c>
      <c r="O9">
        <v>6902.8</v>
      </c>
      <c r="P9" s="2">
        <f t="shared" si="0"/>
        <v>23.909090909090914</v>
      </c>
      <c r="Q9" s="29">
        <f t="shared" si="1"/>
        <v>26.709913202375514</v>
      </c>
      <c r="R9" s="2"/>
    </row>
    <row r="10" spans="1:25" x14ac:dyDescent="0.55000000000000004">
      <c r="A10" s="31">
        <v>30.303030303030305</v>
      </c>
      <c r="B10" s="31">
        <v>30.303030303030305</v>
      </c>
      <c r="C10">
        <v>11513</v>
      </c>
      <c r="D10" s="2">
        <f>(C10-218.9*B10)/105.6</f>
        <v>46.208964646464644</v>
      </c>
      <c r="E10" s="2">
        <f>(C10-105.6*B10)/218.9</f>
        <v>37.976244860666974</v>
      </c>
      <c r="F10" s="30"/>
      <c r="G10" s="2">
        <v>30.030030030030023</v>
      </c>
      <c r="H10" s="2">
        <v>15.015015015015011</v>
      </c>
      <c r="I10">
        <v>7850.4</v>
      </c>
      <c r="J10" s="2">
        <f>(I10-218.9*H10)/105.6</f>
        <v>43.216034216034217</v>
      </c>
      <c r="K10" s="2">
        <f>(I10-105.6*G10)/218.9</f>
        <v>21.376102461529598</v>
      </c>
      <c r="L10" s="30"/>
      <c r="M10" s="2">
        <v>15.015015015015011</v>
      </c>
      <c r="N10" s="2">
        <v>30.030030030030023</v>
      </c>
      <c r="O10">
        <v>9814.1</v>
      </c>
      <c r="P10" s="2">
        <f t="shared" si="0"/>
        <v>30.686803280553296</v>
      </c>
      <c r="Q10" s="29">
        <f t="shared" si="1"/>
        <v>37.59028969581734</v>
      </c>
      <c r="R10" s="2"/>
    </row>
    <row r="11" spans="1:25" x14ac:dyDescent="0.55000000000000004">
      <c r="A11" s="31">
        <v>40.000000000000007</v>
      </c>
      <c r="B11" s="31">
        <v>40.000000000000007</v>
      </c>
      <c r="C11">
        <v>14907</v>
      </c>
      <c r="D11" s="2">
        <f>(C11-218.9*B11)/105.6</f>
        <v>58.248106060606048</v>
      </c>
      <c r="E11" s="2">
        <f>(C11-105.6*B11)/218.9</f>
        <v>48.803106441297395</v>
      </c>
      <c r="F11" s="30"/>
      <c r="G11" s="2">
        <v>39.999999999999993</v>
      </c>
      <c r="H11" s="2">
        <v>19.999999999999996</v>
      </c>
      <c r="I11">
        <v>10189</v>
      </c>
      <c r="J11" s="2">
        <f>(I11-218.9*H11)/105.6</f>
        <v>55.028409090909101</v>
      </c>
      <c r="K11" s="2">
        <f>(I11-105.6*G11)/218.9</f>
        <v>27.249885792599365</v>
      </c>
      <c r="L11" s="30"/>
      <c r="M11" s="2">
        <v>19.999999999999996</v>
      </c>
      <c r="N11" s="2">
        <v>39.999999999999993</v>
      </c>
      <c r="O11">
        <v>12706</v>
      </c>
      <c r="P11" s="2">
        <f t="shared" si="0"/>
        <v>37.405303030303052</v>
      </c>
      <c r="Q11" s="29">
        <f t="shared" si="1"/>
        <v>48.396528095020557</v>
      </c>
      <c r="R11" s="2"/>
    </row>
    <row r="12" spans="1:25" x14ac:dyDescent="0.55000000000000004">
      <c r="A12" s="31">
        <v>50.000000000000014</v>
      </c>
      <c r="B12" s="31">
        <v>50.000000000000014</v>
      </c>
      <c r="C12">
        <v>18309</v>
      </c>
      <c r="D12" s="2">
        <f>(C12-218.9*B12)/105.6</f>
        <v>69.734848484848456</v>
      </c>
      <c r="E12" s="2">
        <f>(C12-105.6*B12)/218.9</f>
        <v>59.52032891731384</v>
      </c>
      <c r="F12" s="30"/>
      <c r="G12" s="2">
        <v>49.999999999999993</v>
      </c>
      <c r="H12" s="2">
        <v>24.999999999999996</v>
      </c>
      <c r="I12">
        <v>12531</v>
      </c>
      <c r="J12" s="2">
        <f>(I12-218.9*H12)/105.6</f>
        <v>66.841856060606077</v>
      </c>
      <c r="K12" s="2">
        <f>(I12-105.6*G12)/218.9</f>
        <v>33.124714481498401</v>
      </c>
      <c r="L12" s="30"/>
      <c r="M12" s="2">
        <v>24.999999999999996</v>
      </c>
      <c r="N12" s="2">
        <v>49.999999999999993</v>
      </c>
      <c r="O12">
        <v>15618</v>
      </c>
      <c r="P12" s="2">
        <f t="shared" si="0"/>
        <v>44.251893939393959</v>
      </c>
      <c r="Q12" s="29">
        <f t="shared" si="1"/>
        <v>59.287345820009136</v>
      </c>
      <c r="R12" s="2"/>
    </row>
    <row r="13" spans="1:25" x14ac:dyDescent="0.55000000000000004">
      <c r="A13" s="31">
        <v>60.240963855421704</v>
      </c>
      <c r="B13" s="31">
        <v>60.240963855421704</v>
      </c>
      <c r="C13">
        <v>21747</v>
      </c>
      <c r="D13" s="2">
        <f>(C13-218.9*B13)/105.6</f>
        <v>81.063002008032086</v>
      </c>
      <c r="E13" s="2">
        <f>(C13-105.6*B13)/218.9</f>
        <v>70.285766180299078</v>
      </c>
      <c r="F13" s="30"/>
      <c r="G13" s="2">
        <v>60.240963855421676</v>
      </c>
      <c r="H13" s="2">
        <v>30.120481927710838</v>
      </c>
      <c r="I13">
        <v>14924</v>
      </c>
      <c r="J13" s="2">
        <f>(I13-218.9*H13)/105.6</f>
        <v>78.888508579773671</v>
      </c>
      <c r="K13" s="2">
        <f>(I13-105.6*G13)/218.9</f>
        <v>39.116282397749984</v>
      </c>
      <c r="L13" s="30"/>
      <c r="M13" s="2">
        <v>30.120481927710838</v>
      </c>
      <c r="N13" s="2">
        <v>60.240963855421676</v>
      </c>
      <c r="O13">
        <v>18535</v>
      </c>
      <c r="P13" s="2">
        <f t="shared" si="0"/>
        <v>50.646335341365486</v>
      </c>
      <c r="Q13" s="29">
        <f t="shared" si="1"/>
        <v>70.142883090149553</v>
      </c>
      <c r="R13" s="2"/>
    </row>
    <row r="14" spans="1:25" x14ac:dyDescent="0.55000000000000004">
      <c r="A14" s="31">
        <v>70.422535211267615</v>
      </c>
      <c r="B14" s="31">
        <v>70.422535211267615</v>
      </c>
      <c r="C14">
        <v>25064</v>
      </c>
      <c r="D14" s="2">
        <f>(C14-218.9*B14)/105.6</f>
        <v>91.368437900128029</v>
      </c>
      <c r="E14" s="2">
        <f>(C14-105.6*B14)/218.9</f>
        <v>80.527091282275649</v>
      </c>
      <c r="F14" s="30"/>
      <c r="G14" s="2">
        <v>70.422535211267586</v>
      </c>
      <c r="H14" s="2">
        <v>35.211267605633793</v>
      </c>
      <c r="I14">
        <v>17227</v>
      </c>
      <c r="J14" s="2">
        <f>(I14-218.9*H14)/105.6</f>
        <v>90.144446222791316</v>
      </c>
      <c r="K14" s="2">
        <f>(I14-105.6*G14)/218.9</f>
        <v>44.725355329785948</v>
      </c>
      <c r="L14" s="30"/>
      <c r="M14" s="2">
        <v>35.211267605633793</v>
      </c>
      <c r="N14" s="2">
        <v>70.422535211267586</v>
      </c>
      <c r="O14">
        <v>21120</v>
      </c>
      <c r="P14" s="2">
        <f t="shared" si="0"/>
        <v>54.019953051643228</v>
      </c>
      <c r="Q14" s="29">
        <f t="shared" si="1"/>
        <v>79.49607190883998</v>
      </c>
      <c r="R14" s="2"/>
    </row>
    <row r="15" spans="1:25" x14ac:dyDescent="0.55000000000000004">
      <c r="A15" s="31">
        <v>80</v>
      </c>
      <c r="B15" s="31">
        <v>80</v>
      </c>
      <c r="C15">
        <v>28062</v>
      </c>
      <c r="D15" s="2">
        <f>(C15-218.9*B15)/105.6</f>
        <v>99.905303030303031</v>
      </c>
      <c r="E15" s="2">
        <f>(C15-105.6*B15)/218.9</f>
        <v>89.602558245774318</v>
      </c>
      <c r="F15" s="30"/>
      <c r="G15" s="2">
        <v>79.999999999999986</v>
      </c>
      <c r="H15" s="2">
        <v>39.999999999999993</v>
      </c>
      <c r="I15">
        <v>19280</v>
      </c>
      <c r="J15" s="2">
        <f>(I15-218.9*H15)/105.6</f>
        <v>99.659090909090935</v>
      </c>
      <c r="K15" s="2">
        <f>(I15-105.6*G15)/218.9</f>
        <v>49.483782549109186</v>
      </c>
      <c r="L15" s="30"/>
      <c r="M15" s="2">
        <v>39.999999999999993</v>
      </c>
      <c r="N15" s="2">
        <v>79.999999999999986</v>
      </c>
      <c r="O15">
        <v>23899</v>
      </c>
      <c r="P15" s="2">
        <f t="shared" si="0"/>
        <v>60.482954545454582</v>
      </c>
      <c r="Q15" s="29">
        <f t="shared" si="1"/>
        <v>89.881224303334861</v>
      </c>
      <c r="R15" s="2"/>
    </row>
    <row r="16" spans="1:25" x14ac:dyDescent="0.55000000000000004">
      <c r="A16" s="31">
        <v>90.909090909090907</v>
      </c>
      <c r="B16" s="31">
        <v>90.909090909090907</v>
      </c>
      <c r="C16">
        <v>31598</v>
      </c>
      <c r="D16" s="2">
        <f>(C16-218.9*B16)/105.6</f>
        <v>110.77651515151516</v>
      </c>
      <c r="E16" s="2">
        <f>(C16-105.6*B16)/218.9</f>
        <v>100.4933759707629</v>
      </c>
      <c r="F16" s="30"/>
      <c r="G16" s="2">
        <v>90.090090090090087</v>
      </c>
      <c r="H16" s="2">
        <v>45.045045045045043</v>
      </c>
      <c r="I16">
        <v>21695</v>
      </c>
      <c r="J16" s="2">
        <f>(I16-218.9*H16)/105.6</f>
        <v>112.07045113295113</v>
      </c>
      <c r="K16" s="2">
        <f>(I16-105.6*G16)/218.9</f>
        <v>55.648636301902634</v>
      </c>
      <c r="L16" s="30"/>
      <c r="M16" s="2">
        <v>45.045045045045043</v>
      </c>
      <c r="N16" s="2">
        <v>90.090090090090087</v>
      </c>
      <c r="O16">
        <v>26721</v>
      </c>
      <c r="P16" s="2">
        <f t="shared" si="0"/>
        <v>66.290523478023474</v>
      </c>
      <c r="Q16" s="29">
        <f t="shared" si="1"/>
        <v>100.33916511303445</v>
      </c>
      <c r="R16" s="2"/>
    </row>
    <row r="17" spans="1:18" x14ac:dyDescent="0.55000000000000004">
      <c r="A17" s="31">
        <v>100</v>
      </c>
      <c r="B17" s="31">
        <v>100</v>
      </c>
      <c r="C17">
        <v>34492</v>
      </c>
      <c r="D17" s="2">
        <f>(C17-218.9*B17)/105.6</f>
        <v>119.33712121212122</v>
      </c>
      <c r="E17" s="2">
        <f>(C17-105.6*B17)/218.9</f>
        <v>109.32846048423937</v>
      </c>
      <c r="F17" s="30"/>
      <c r="G17" s="2">
        <v>100</v>
      </c>
      <c r="H17" s="2">
        <v>50</v>
      </c>
      <c r="I17">
        <v>23660</v>
      </c>
      <c r="J17" s="2">
        <f>(I17-218.9*H17)/105.6</f>
        <v>120.40719696969698</v>
      </c>
      <c r="K17" s="2">
        <f>(I17-105.6*G17)/218.9</f>
        <v>59.844677935130193</v>
      </c>
      <c r="L17" s="30"/>
      <c r="M17" s="2">
        <v>50</v>
      </c>
      <c r="N17" s="2">
        <v>100</v>
      </c>
      <c r="O17">
        <v>29405</v>
      </c>
      <c r="P17" s="2">
        <f t="shared" si="0"/>
        <v>71.164772727272734</v>
      </c>
      <c r="Q17" s="29">
        <f t="shared" si="1"/>
        <v>110.21014161717679</v>
      </c>
      <c r="R17" s="2"/>
    </row>
    <row r="18" spans="1:18" x14ac:dyDescent="0.55000000000000004">
      <c r="C18" s="1"/>
    </row>
    <row r="19" spans="1:18" x14ac:dyDescent="0.55000000000000004">
      <c r="D19" s="14"/>
    </row>
    <row r="20" spans="1:18" s="10" customFormat="1" x14ac:dyDescent="0.55000000000000004">
      <c r="H20" s="16"/>
      <c r="I20" s="16"/>
    </row>
    <row r="22" spans="1:18" ht="14.4" customHeight="1" x14ac:dyDescent="0.55000000000000004">
      <c r="D22" s="13" t="s">
        <v>29</v>
      </c>
      <c r="E22" s="13"/>
      <c r="F22" s="13"/>
    </row>
    <row r="23" spans="1:18" x14ac:dyDescent="0.55000000000000004">
      <c r="B23" s="10"/>
      <c r="D23" s="4"/>
      <c r="H23" s="10"/>
      <c r="I23" s="10"/>
    </row>
    <row r="24" spans="1:18" x14ac:dyDescent="0.55000000000000004">
      <c r="D24" s="12" t="s">
        <v>23</v>
      </c>
      <c r="E24" s="12"/>
      <c r="F24" s="12"/>
    </row>
    <row r="25" spans="1:18" x14ac:dyDescent="0.55000000000000004">
      <c r="D25" s="4"/>
      <c r="J25" s="4"/>
    </row>
    <row r="26" spans="1:18" x14ac:dyDescent="0.55000000000000004">
      <c r="D26" s="4"/>
    </row>
    <row r="27" spans="1:18" x14ac:dyDescent="0.55000000000000004">
      <c r="D27" s="4"/>
    </row>
    <row r="28" spans="1:18" x14ac:dyDescent="0.55000000000000004">
      <c r="D28" s="4"/>
    </row>
    <row r="29" spans="1:18" x14ac:dyDescent="0.55000000000000004">
      <c r="D29" s="4"/>
    </row>
    <row r="31" spans="1:18" x14ac:dyDescent="0.55000000000000004">
      <c r="D31" s="3"/>
    </row>
  </sheetData>
  <mergeCells count="3">
    <mergeCell ref="D22:F22"/>
    <mergeCell ref="B1:Q1"/>
    <mergeCell ref="D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 9.5.23</vt:lpstr>
      <vt:lpstr>NdCl3 9.6.23</vt:lpstr>
      <vt:lpstr>KCl+NdCl3 9.6.23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Lair</dc:creator>
  <cp:lastModifiedBy>Laurianne Lair</cp:lastModifiedBy>
  <dcterms:created xsi:type="dcterms:W3CDTF">2023-04-20T12:27:17Z</dcterms:created>
  <dcterms:modified xsi:type="dcterms:W3CDTF">2024-04-16T18:14:43Z</dcterms:modified>
</cp:coreProperties>
</file>