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wnleft/Desktop/Analytics_Course/"/>
    </mc:Choice>
  </mc:AlternateContent>
  <xr:revisionPtr revIDLastSave="0" documentId="13_ncr:1_{AEA59318-688D-5E4D-BB13-83AD058F142C}" xr6:coauthVersionLast="47" xr6:coauthVersionMax="47" xr10:uidLastSave="{00000000-0000-0000-0000-000000000000}"/>
  <bookViews>
    <workbookView xWindow="19880" yWindow="-17160" windowWidth="25880" windowHeight="14820" activeTab="5" xr2:uid="{00000000-000D-0000-FFFF-FFFF00000000}"/>
  </bookViews>
  <sheets>
    <sheet name="Crowdfunding" sheetId="1" r:id="rId1"/>
    <sheet name="Success by Category" sheetId="2" r:id="rId2"/>
    <sheet name="Success by Sub-category" sheetId="3" r:id="rId3"/>
    <sheet name="Success by Date" sheetId="4" r:id="rId4"/>
    <sheet name="Goal Analysis" sheetId="5" r:id="rId5"/>
    <sheet name="Analysis of Backers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I3" i="6"/>
  <c r="H5" i="6"/>
  <c r="H3" i="6"/>
  <c r="I9" i="6"/>
  <c r="I8" i="6"/>
  <c r="I7" i="6"/>
  <c r="I6" i="6"/>
  <c r="H7" i="6"/>
  <c r="H8" i="6"/>
  <c r="H9" i="6"/>
  <c r="H6" i="6"/>
  <c r="I4" i="6"/>
  <c r="H4" i="6"/>
  <c r="I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G2" i="5" l="1"/>
  <c r="H6" i="5"/>
  <c r="H4" i="5"/>
  <c r="H12" i="5"/>
  <c r="H2" i="5"/>
  <c r="F7" i="5"/>
  <c r="F4" i="5"/>
  <c r="G9" i="5"/>
  <c r="E2" i="5"/>
  <c r="F2" i="5" s="1"/>
  <c r="E10" i="5"/>
  <c r="H10" i="5" s="1"/>
  <c r="E6" i="5"/>
  <c r="F6" i="5" s="1"/>
  <c r="E13" i="5"/>
  <c r="G13" i="5" s="1"/>
  <c r="E9" i="5"/>
  <c r="F9" i="5" s="1"/>
  <c r="E5" i="5"/>
  <c r="H5" i="5" s="1"/>
  <c r="E12" i="5"/>
  <c r="G12" i="5" s="1"/>
  <c r="E8" i="5"/>
  <c r="F8" i="5" s="1"/>
  <c r="E4" i="5"/>
  <c r="G4" i="5" s="1"/>
  <c r="E11" i="5"/>
  <c r="H11" i="5" s="1"/>
  <c r="E7" i="5"/>
  <c r="H7" i="5" s="1"/>
  <c r="E3" i="5"/>
  <c r="F3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5" l="1"/>
  <c r="F5" i="5"/>
  <c r="G11" i="5"/>
  <c r="G8" i="5"/>
  <c r="H3" i="5"/>
  <c r="H9" i="5"/>
  <c r="G5" i="5"/>
  <c r="F12" i="5"/>
  <c r="G3" i="5"/>
  <c r="G6" i="5"/>
  <c r="H8" i="5"/>
  <c r="G7" i="5"/>
  <c r="G10" i="5"/>
  <c r="F13" i="5"/>
  <c r="F10" i="5"/>
  <c r="F11" i="5"/>
</calcChain>
</file>

<file path=xl/sharedStrings.xml><?xml version="1.0" encoding="utf-8"?>
<sst xmlns="http://schemas.openxmlformats.org/spreadsheetml/2006/main" count="9064" uniqueCount="2116">
  <si>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</si>
  <si>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</si>
  <si>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</si>
  <si>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</si>
  <si>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</si>
  <si>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</si>
  <si>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</si>
  <si>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</si>
  <si>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</si>
  <si>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</si>
  <si>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</si>
  <si>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</si>
  <si>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</si>
  <si>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</si>
  <si>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</si>
  <si>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</si>
  <si>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</si>
  <si>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</si>
  <si>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</si>
  <si>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</si>
  <si>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</si>
  <si>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</si>
  <si>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</si>
  <si>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</si>
  <si>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</si>
  <si>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</si>
  <si>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</si>
  <si>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</si>
  <si>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</si>
  <si>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</si>
  <si>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</si>
  <si>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</si>
  <si>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</si>
  <si>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</si>
  <si>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</si>
  <si>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</si>
  <si>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</si>
  <si>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</si>
  <si>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</si>
  <si>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</si>
  <si>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</si>
  <si>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</si>
  <si>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</si>
  <si>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</si>
  <si>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</si>
  <si>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</si>
  <si>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</si>
  <si>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</si>
  <si>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</si>
  <si>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</si>
  <si>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</si>
  <si>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</si>
  <si>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</si>
  <si>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</si>
  <si>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</si>
  <si>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</si>
  <si>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</si>
  <si>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</si>
  <si>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</si>
  <si>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</si>
  <si>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</si>
  <si>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</si>
  <si>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</si>
  <si>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</si>
  <si>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</si>
  <si>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</si>
  <si>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</si>
  <si>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</si>
  <si>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</si>
  <si>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</si>
  <si>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</si>
  <si>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</si>
  <si>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</si>
  <si>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</si>
  <si>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</si>
  <si>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</si>
  <si>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</si>
  <si>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</si>
  <si>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</si>
  <si>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</si>
  <si>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</si>
  <si>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</si>
  <si>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</si>
  <si>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</si>
  <si>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</si>
  <si>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</si>
  <si>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</si>
  <si>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</si>
  <si>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</si>
  <si>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</si>
  <si>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</si>
  <si>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</si>
  <si>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</si>
  <si>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</si>
  <si>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</si>
  <si>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</si>
  <si>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</si>
  <si>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</si>
  <si>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</si>
  <si>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</si>
  <si>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</si>
  <si>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</si>
  <si>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</si>
  <si>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</si>
  <si>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</si>
  <si>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</si>
  <si>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</si>
  <si>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</si>
  <si>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</si>
  <si>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</si>
  <si>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</si>
  <si>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</si>
  <si>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</si>
  <si>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</si>
  <si>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</si>
  <si>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</si>
  <si>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</si>
  <si>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</si>
  <si>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</si>
  <si>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</si>
  <si>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</si>
  <si>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</si>
  <si>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</si>
  <si>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</si>
  <si>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</si>
  <si>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</si>
  <si>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</si>
  <si>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</si>
  <si>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</si>
  <si>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</si>
  <si>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</si>
  <si>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</si>
  <si>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</si>
  <si>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</si>
  <si>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</si>
  <si>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</si>
  <si>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</si>
  <si>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</si>
  <si>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</si>
  <si>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</si>
  <si>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</si>
  <si>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</si>
  <si>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</si>
  <si>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</si>
  <si>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</si>
  <si>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</si>
  <si>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</si>
  <si>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</si>
  <si>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</si>
  <si>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</si>
  <si>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</si>
  <si>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</si>
  <si>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</si>
  <si>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</si>
  <si>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</si>
  <si>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</si>
  <si>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</si>
  <si>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</si>
  <si>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</si>
  <si>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</si>
  <si>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</si>
  <si>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</si>
  <si>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</si>
  <si>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</si>
  <si>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</si>
  <si>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</si>
  <si>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</si>
  <si>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</si>
  <si>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</si>
  <si>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</si>
  <si>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</si>
  <si>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</si>
  <si>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</si>
  <si>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</si>
  <si>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</si>
  <si>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</si>
  <si>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</si>
  <si>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</si>
  <si>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</si>
  <si>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</si>
  <si>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</si>
  <si>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</si>
  <si>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</si>
  <si>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</si>
  <si>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</si>
  <si>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</si>
  <si>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</si>
  <si>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</si>
  <si>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</si>
  <si>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</si>
  <si>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</si>
  <si>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</si>
  <si>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</si>
  <si>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</si>
  <si>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</si>
  <si>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</si>
  <si>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</si>
  <si>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</si>
  <si>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</si>
  <si>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</si>
  <si>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</si>
  <si>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</si>
  <si>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</si>
  <si>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</si>
  <si>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</si>
  <si>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</si>
  <si>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</si>
  <si>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</si>
  <si>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</si>
  <si>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</si>
  <si>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</si>
  <si>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</si>
  <si>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</si>
  <si>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</si>
  <si>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</si>
  <si>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</si>
  <si>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</si>
  <si>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</si>
  <si>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</si>
  <si>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</si>
  <si>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</si>
  <si>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</si>
  <si>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</si>
  <si>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</si>
  <si>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</si>
  <si>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</si>
  <si>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</si>
  <si>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</si>
  <si>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</si>
  <si>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</si>
  <si>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</si>
  <si>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</si>
  <si>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</si>
  <si>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</si>
  <si>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</si>
  <si>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</si>
  <si>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</si>
  <si>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</si>
  <si>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</si>
  <si>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</si>
  <si>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</si>
  <si>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</si>
  <si>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</si>
  <si>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</si>
  <si>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</si>
  <si>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</si>
  <si>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</si>
  <si>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</si>
  <si>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</si>
  <si>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</si>
  <si>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</si>
  <si>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</si>
  <si>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</si>
  <si>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</si>
  <si>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</si>
  <si>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</si>
  <si>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</si>
  <si>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</si>
  <si>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</si>
  <si>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</si>
  <si>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</si>
  <si>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</si>
  <si>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</si>
  <si>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</si>
  <si>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</si>
  <si>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</si>
  <si>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</si>
  <si>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</si>
  <si>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</si>
  <si>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</si>
  <si>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</si>
  <si>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</si>
  <si>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</si>
  <si>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</si>
  <si>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</si>
  <si>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</si>
  <si>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</si>
  <si>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</si>
  <si>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</si>
  <si>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</si>
  <si>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</si>
  <si>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</si>
  <si>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</si>
  <si>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</si>
  <si>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</si>
  <si>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</si>
  <si>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</si>
  <si>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</si>
  <si>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</si>
  <si>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</si>
  <si>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</si>
  <si>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</si>
  <si>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</si>
  <si>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</si>
  <si>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</si>
  <si>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</si>
  <si>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</si>
  <si>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</si>
  <si>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</si>
  <si>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</si>
  <si>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</si>
  <si>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</si>
  <si>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</si>
  <si>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</si>
  <si>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</si>
  <si>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</si>
  <si>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</si>
  <si>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</si>
  <si>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</si>
  <si>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</si>
  <si>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</si>
  <si>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</si>
  <si>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</si>
  <si>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</si>
  <si>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</si>
  <si>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</si>
  <si>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</si>
  <si>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</si>
  <si>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</si>
  <si>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</si>
  <si>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</si>
  <si>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</si>
  <si>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</si>
  <si>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</si>
  <si>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</si>
  <si>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</si>
  <si>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</si>
  <si>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</si>
  <si>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</si>
  <si>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</si>
  <si>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</si>
  <si>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</si>
  <si>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</si>
  <si>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</si>
  <si>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</si>
  <si>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</si>
  <si>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</si>
  <si>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</si>
  <si>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</si>
  <si>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</si>
  <si>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</si>
  <si>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</si>
  <si>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</si>
  <si>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</si>
  <si>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</si>
  <si>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</si>
  <si>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</si>
  <si>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</si>
  <si>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</si>
  <si>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</si>
  <si>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</si>
  <si>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</si>
  <si>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</si>
  <si>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</si>
  <si>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</si>
  <si>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</si>
  <si>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</si>
  <si>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</si>
  <si>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</si>
  <si>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</si>
  <si>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</si>
  <si>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</si>
  <si>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</si>
  <si>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</si>
  <si>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</si>
  <si>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</si>
  <si>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</si>
  <si>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</si>
  <si>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</si>
  <si>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</si>
  <si>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</si>
  <si>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</si>
  <si>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</si>
  <si>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</si>
  <si>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</si>
  <si>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</si>
  <si>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</si>
  <si>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</si>
  <si>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</si>
  <si>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</si>
  <si>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</si>
  <si>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</si>
  <si>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</si>
  <si>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</si>
  <si>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</si>
  <si>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</si>
  <si>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</si>
  <si>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</si>
  <si>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</si>
  <si>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</si>
  <si>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</si>
  <si>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</si>
  <si>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</si>
  <si>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</si>
  <si>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</si>
  <si>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</si>
  <si>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</si>
  <si>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</si>
  <si>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</si>
  <si>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</si>
  <si>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</si>
  <si>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</si>
  <si>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</si>
  <si>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</si>
  <si>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</si>
  <si>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</si>
  <si>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</si>
  <si>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</si>
  <si>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</si>
  <si>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</si>
  <si>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</si>
  <si>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</si>
  <si>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</si>
  <si>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</si>
  <si>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</si>
  <si>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</si>
  <si>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</si>
  <si>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</si>
  <si>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</si>
  <si>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</si>
  <si>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</si>
  <si>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</si>
  <si>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</si>
  <si>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</si>
  <si>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</si>
  <si>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</si>
  <si>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</si>
  <si>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</si>
  <si>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</si>
  <si>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</si>
  <si>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</si>
  <si>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</si>
  <si>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</si>
  <si>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</si>
  <si>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</si>
  <si>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</si>
  <si>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</si>
  <si>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</si>
  <si>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</si>
  <si>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</si>
  <si>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</si>
  <si>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</si>
  <si>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</si>
  <si>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</si>
  <si>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</si>
  <si>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</si>
  <si>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</si>
  <si>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</si>
  <si>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</si>
  <si>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</si>
  <si>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</si>
  <si>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</si>
  <si>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</si>
  <si>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</si>
  <si>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</si>
  <si>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</si>
  <si>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</si>
  <si>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</si>
  <si>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</si>
  <si>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</si>
  <si>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</si>
  <si>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</si>
  <si>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</si>
  <si>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</si>
  <si>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</si>
  <si>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</si>
  <si>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</si>
  <si>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</si>
  <si>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</si>
  <si>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</si>
  <si>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</si>
  <si>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</si>
  <si>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</si>
  <si>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</si>
  <si>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</si>
  <si>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</si>
  <si>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</si>
  <si>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</si>
  <si>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</si>
  <si>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</si>
  <si>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</si>
  <si>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</si>
  <si>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</si>
  <si>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</si>
  <si>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</si>
  <si>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</si>
  <si>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</si>
  <si>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</si>
  <si>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</si>
  <si>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</si>
  <si>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</si>
  <si>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</si>
  <si>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</si>
  <si>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</si>
  <si>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</si>
  <si>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</si>
  <si>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</si>
  <si>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</si>
  <si>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</si>
  <si>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</si>
  <si>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</si>
  <si>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</si>
  <si>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</si>
  <si>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</si>
  <si>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</si>
  <si>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</si>
  <si>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</si>
  <si>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</si>
  <si>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</si>
  <si>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</si>
  <si>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</si>
  <si>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</si>
  <si>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</si>
  <si>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</si>
  <si>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</si>
  <si>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</si>
  <si>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</si>
  <si>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</si>
  <si>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</si>
  <si>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</si>
  <si>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</si>
  <si>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</si>
  <si>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</si>
  <si>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</si>
  <si>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</si>
  <si>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</si>
  <si>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</si>
  <si>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</si>
  <si>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</si>
  <si>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</si>
  <si>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</si>
  <si>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</si>
  <si>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</si>
  <si>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</si>
  <si>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</si>
  <si>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</si>
  <si>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</si>
  <si>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</si>
  <si>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</si>
  <si>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</si>
  <si>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</si>
  <si>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</si>
  <si>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</si>
  <si>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</si>
  <si>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</si>
  <si>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</si>
  <si>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</si>
  <si>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</si>
  <si>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</si>
  <si>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</si>
  <si>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</si>
  <si>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</si>
  <si>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</si>
  <si>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</si>
  <si>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</si>
  <si>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</si>
  <si>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</si>
  <si>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</si>
  <si>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</si>
  <si>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</si>
  <si>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</si>
  <si>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</si>
  <si>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</si>
  <si>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</si>
  <si>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</si>
  <si>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</si>
  <si>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</si>
  <si>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</si>
  <si>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</si>
  <si>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</si>
  <si>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</si>
  <si>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</si>
  <si>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</si>
  <si>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</si>
  <si>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</si>
  <si>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</si>
  <si>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</si>
  <si>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</si>
  <si>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</si>
  <si>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</si>
  <si>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</si>
  <si>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</si>
  <si>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</si>
  <si>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</si>
  <si>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</si>
  <si>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</si>
  <si>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</si>
  <si>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</si>
  <si>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</si>
  <si>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</si>
  <si>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</si>
  <si>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</si>
  <si>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</si>
  <si>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</si>
  <si>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</si>
  <si>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</si>
  <si>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</si>
  <si>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</si>
  <si>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</si>
  <si>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</si>
  <si>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</si>
  <si>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</si>
  <si>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</si>
  <si>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</si>
  <si>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</si>
  <si>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</si>
  <si>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</si>
  <si>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</si>
  <si>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</si>
  <si>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</si>
  <si>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</si>
  <si>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</si>
  <si>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</si>
  <si>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</si>
  <si>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</si>
  <si>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</si>
  <si>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</si>
  <si>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</si>
  <si>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</si>
  <si>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</si>
  <si>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</si>
  <si>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</si>
  <si>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</si>
  <si>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</si>
  <si>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</si>
  <si>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</si>
  <si>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</si>
  <si>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</si>
  <si>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</si>
  <si>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</si>
  <si>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</si>
  <si>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</si>
  <si>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</si>
  <si>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</si>
  <si>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</si>
  <si>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</si>
  <si>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</si>
  <si>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</si>
  <si>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</si>
  <si>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</si>
  <si>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</si>
  <si>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</si>
  <si>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</si>
  <si>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</si>
  <si>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</si>
  <si>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</si>
  <si>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</si>
  <si>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</si>
  <si>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</si>
  <si>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</si>
  <si>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</si>
  <si>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</si>
  <si>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</si>
  <si>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</si>
  <si>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</si>
  <si>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</si>
  <si>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</si>
  <si>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</si>
  <si>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</si>
  <si>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</si>
  <si>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</si>
  <si>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</si>
  <si>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</si>
  <si>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</si>
  <si>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</si>
  <si>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</si>
  <si>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</si>
  <si>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</si>
  <si>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</si>
  <si>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</si>
  <si>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</si>
  <si>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</si>
  <si>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</si>
  <si>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</si>
  <si>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</si>
  <si>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</si>
  <si>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</si>
  <si>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</si>
  <si>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</si>
  <si>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</si>
  <si>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</si>
  <si>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</si>
  <si>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</si>
  <si>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</si>
  <si>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</si>
  <si>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</si>
  <si>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</si>
  <si>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</si>
  <si>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</si>
  <si>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</si>
  <si>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</si>
  <si>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</si>
  <si>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</si>
  <si>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</si>
  <si>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</si>
  <si>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</si>
  <si>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</si>
  <si>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</si>
  <si>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</si>
  <si>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</si>
  <si>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</si>
  <si>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</si>
  <si>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</si>
  <si>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</si>
  <si>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</si>
  <si>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</si>
  <si>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</si>
  <si>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</si>
  <si>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</si>
  <si>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</si>
  <si>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</si>
  <si>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</si>
  <si>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</si>
  <si>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</si>
  <si>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</si>
  <si>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</si>
  <si>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</si>
  <si>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</si>
  <si>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</si>
  <si>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</si>
  <si>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</si>
  <si>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</si>
  <si>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</si>
  <si>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</si>
  <si>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</si>
  <si>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</si>
  <si>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</si>
  <si>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</si>
  <si>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</si>
  <si>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</si>
  <si>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</si>
  <si>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</si>
  <si>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</si>
  <si>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</si>
  <si>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</si>
  <si>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</si>
  <si>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</si>
  <si>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</si>
  <si>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</si>
  <si>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</si>
  <si>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</si>
  <si>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</si>
  <si>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</si>
  <si>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</si>
  <si>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</si>
  <si>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</si>
  <si>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</si>
  <si>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</si>
  <si>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</si>
  <si>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</si>
  <si>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</si>
  <si>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</si>
  <si>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</si>
  <si>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</si>
  <si>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</si>
  <si>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</si>
  <si>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</si>
  <si>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</si>
  <si>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</si>
  <si>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</si>
  <si>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</si>
  <si>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</si>
  <si>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</si>
  <si>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</si>
  <si>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</si>
  <si>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</si>
  <si>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</si>
  <si>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</si>
  <si>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</si>
  <si>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</si>
  <si>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</si>
  <si>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</si>
  <si>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</si>
  <si>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</si>
  <si>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</si>
  <si>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</si>
  <si>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</si>
  <si>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</si>
  <si>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</si>
  <si>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</si>
  <si>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</si>
  <si>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</si>
  <si>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</si>
  <si>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</si>
  <si>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</si>
  <si>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</si>
  <si>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</si>
  <si>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</si>
  <si>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</si>
  <si>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</si>
  <si>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</si>
  <si>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</si>
  <si>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</si>
  <si>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</si>
  <si>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</si>
  <si>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</si>
  <si>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</si>
  <si>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</si>
  <si>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</si>
  <si>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</si>
  <si>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</si>
  <si>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</si>
  <si>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</si>
  <si>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</si>
  <si>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</si>
  <si>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</si>
  <si>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</si>
  <si>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</si>
  <si>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</si>
  <si>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</si>
  <si>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</si>
  <si>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</si>
  <si>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</si>
  <si>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</si>
  <si>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</si>
  <si>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</si>
  <si>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</si>
  <si>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</si>
  <si>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</si>
  <si>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</si>
  <si>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</si>
  <si>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</si>
  <si>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</si>
  <si>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</si>
  <si>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</si>
  <si>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</si>
  <si>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</si>
  <si>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</si>
  <si>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</si>
  <si>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</si>
  <si>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</si>
  <si>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</si>
  <si>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</si>
  <si>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</si>
  <si>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</si>
  <si>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</si>
  <si>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</si>
  <si>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</si>
  <si>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</si>
  <si>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</si>
  <si>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</si>
  <si>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</si>
  <si>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</si>
  <si>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</si>
  <si>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</si>
  <si>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</si>
  <si>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</si>
  <si>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</si>
  <si>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</si>
  <si>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</si>
  <si>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</si>
  <si>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</si>
  <si>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</si>
  <si>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</si>
  <si>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</si>
  <si>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</si>
  <si>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</si>
  <si>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</si>
  <si>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</si>
  <si>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</si>
  <si>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</si>
  <si>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</si>
  <si>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</si>
  <si>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</si>
  <si>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</si>
  <si>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</si>
  <si>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</si>
  <si>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</si>
  <si>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</si>
  <si>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</si>
  <si>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</si>
  <si>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</si>
  <si>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</si>
  <si>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</si>
  <si>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</si>
  <si>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</si>
  <si>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</si>
  <si>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</si>
  <si>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</si>
  <si>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</si>
  <si>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</si>
  <si>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</si>
  <si>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</si>
  <si>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</si>
  <si>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</si>
  <si>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</si>
  <si>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</si>
  <si>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</si>
  <si>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</si>
  <si>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</si>
  <si>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</si>
  <si>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</si>
  <si>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</si>
  <si>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</si>
  <si>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</si>
  <si>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</si>
  <si>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</si>
  <si>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</si>
  <si>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</si>
  <si>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</si>
  <si>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</si>
  <si>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</si>
  <si>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</si>
  <si>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</si>
  <si>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</si>
  <si>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</si>
  <si>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</si>
  <si>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</si>
  <si>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</si>
  <si>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</si>
  <si>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</si>
  <si>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</si>
  <si>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</si>
  <si>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</si>
  <si>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</si>
  <si>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</si>
  <si>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</si>
  <si>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</si>
  <si>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</si>
  <si>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</si>
  <si>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</si>
  <si>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</si>
  <si>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</si>
  <si>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</si>
  <si>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</si>
  <si>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</si>
  <si>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</si>
  <si>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</si>
  <si>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</si>
  <si>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</si>
  <si>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</si>
  <si>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</si>
  <si>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</si>
  <si>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</si>
  <si>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</si>
  <si>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</si>
  <si>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</si>
  <si>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</si>
  <si>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</si>
  <si>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</si>
  <si>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</si>
  <si>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</si>
  <si>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</si>
  <si>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</si>
  <si>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</si>
  <si>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</si>
  <si>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</si>
  <si>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</si>
  <si>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</si>
  <si>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</si>
  <si>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</si>
  <si>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</si>
  <si>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</si>
  <si>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</si>
  <si>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</si>
  <si>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</si>
  <si>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</si>
  <si>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</si>
  <si>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</si>
  <si>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</si>
  <si>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</si>
  <si>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</si>
  <si>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</si>
  <si>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</si>
  <si>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</si>
  <si>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</si>
  <si>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</si>
  <si>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</si>
  <si>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</si>
  <si>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</si>
  <si>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</si>
  <si>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</si>
  <si>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</si>
  <si>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</si>
  <si>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</si>
  <si>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</si>
  <si>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</si>
  <si>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</si>
  <si>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</si>
  <si>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</si>
  <si>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</si>
  <si>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</si>
  <si>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</si>
  <si>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</si>
  <si>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</si>
  <si>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</si>
  <si>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</si>
  <si>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</si>
  <si>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</si>
  <si>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</si>
  <si>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</si>
  <si>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</si>
  <si>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</si>
  <si>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</si>
  <si>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</si>
  <si>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</si>
  <si>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</si>
  <si>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</si>
  <si>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</si>
  <si>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</si>
  <si>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</si>
  <si>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</si>
  <si>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</si>
  <si>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</si>
  <si>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</si>
  <si>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</si>
  <si>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</si>
  <si>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</si>
  <si>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</si>
  <si>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</si>
  <si>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</si>
  <si>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</si>
  <si>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</si>
  <si>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</si>
  <si>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</si>
  <si>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</si>
  <si>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</si>
  <si>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</si>
  <si>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</si>
  <si>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</si>
  <si>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</si>
  <si>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</si>
  <si>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</si>
  <si>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</si>
  <si>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</si>
  <si>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</si>
  <si>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</si>
  <si>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</si>
  <si>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</si>
  <si>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</si>
  <si>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</si>
  <si>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</si>
  <si>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</si>
  <si>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</si>
  <si>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</si>
  <si>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</si>
  <si>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</si>
  <si>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</si>
  <si>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</si>
  <si>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</si>
  <si>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</si>
  <si>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</si>
  <si>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</si>
  <si>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</si>
  <si>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</si>
  <si>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</si>
  <si>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</si>
  <si>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</si>
  <si>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</si>
  <si>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</si>
  <si>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</si>
  <si>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</si>
  <si>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</si>
  <si>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</si>
  <si>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</si>
  <si>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</si>
  <si>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</si>
  <si>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</si>
  <si>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</si>
  <si>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</si>
  <si>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</si>
  <si>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</si>
  <si>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</si>
  <si>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</si>
  <si>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</si>
  <si>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</si>
  <si>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</si>
  <si>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</si>
  <si>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</si>
  <si>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</si>
  <si>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</si>
  <si>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</si>
  <si>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</si>
  <si>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</si>
  <si>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</si>
  <si>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</si>
  <si>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</si>
  <si>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</si>
  <si>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</si>
  <si>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</si>
  <si>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</si>
  <si>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</si>
  <si>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</si>
  <si>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</si>
  <si>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</si>
  <si>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</si>
  <si>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</si>
  <si>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</si>
  <si>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</si>
  <si>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</si>
  <si>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</si>
  <si>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</si>
  <si>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</si>
  <si>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</si>
  <si>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</si>
  <si>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</si>
  <si>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</si>
  <si>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</si>
  <si>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</si>
  <si>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</si>
  <si>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</si>
  <si>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</si>
  <si>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</si>
  <si>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</si>
  <si>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</si>
  <si>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</si>
  <si>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</si>
  <si>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</si>
  <si>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</si>
  <si>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</si>
  <si>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</si>
  <si>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</si>
  <si>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</si>
  <si>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</si>
  <si>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</si>
  <si>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</si>
  <si>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</si>
  <si>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</si>
  <si>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</si>
  <si>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</si>
  <si>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</si>
  <si>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</si>
  <si>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</si>
  <si>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</si>
  <si>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</si>
  <si>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</si>
  <si>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</si>
  <si>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</si>
  <si>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</si>
  <si>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</si>
  <si>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</si>
  <si>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</si>
  <si>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</si>
  <si>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</si>
  <si>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</si>
  <si>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</si>
  <si>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</si>
  <si>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</si>
  <si>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</si>
  <si>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</si>
  <si>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</si>
  <si>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</si>
  <si>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</si>
  <si>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</si>
  <si>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</si>
  <si>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</si>
  <si>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</si>
  <si>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</si>
  <si>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</si>
  <si>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</si>
  <si>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</si>
  <si>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</si>
  <si>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</si>
  <si>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</si>
  <si>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</si>
  <si>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</si>
  <si>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</si>
  <si>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</si>
  <si>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</si>
  <si>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</si>
  <si>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</si>
  <si>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</si>
  <si>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</si>
  <si>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</si>
  <si>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</si>
  <si>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</si>
  <si>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</si>
  <si>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</si>
  <si>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</si>
  <si>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</si>
  <si>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</si>
  <si>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</si>
  <si>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</si>
  <si>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</si>
  <si>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</si>
  <si>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</si>
  <si>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</si>
  <si>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</si>
  <si>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</si>
  <si>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</si>
  <si>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</si>
  <si>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</si>
  <si>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</si>
  <si>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</si>
  <si>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</si>
  <si>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</si>
  <si>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</si>
  <si>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</si>
  <si>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</si>
  <si>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</si>
  <si>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</si>
  <si>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</si>
  <si>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</si>
  <si>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</si>
  <si>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</si>
  <si>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</si>
  <si>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</si>
  <si>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</si>
  <si>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</si>
  <si>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</si>
  <si>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</si>
  <si>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</si>
  <si>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</si>
  <si>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</si>
  <si>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</si>
  <si>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</si>
  <si>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</si>
  <si>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</si>
  <si>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</si>
  <si>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</si>
  <si>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</si>
  <si>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</si>
  <si>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</si>
  <si>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</si>
  <si>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</si>
  <si>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</si>
  <si>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</si>
  <si>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</si>
  <si>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</si>
  <si>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</si>
  <si>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</si>
  <si>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</si>
  <si>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</si>
  <si>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</si>
  <si>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</si>
  <si>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</si>
  <si>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</si>
  <si>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</si>
  <si>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</si>
  <si>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</si>
  <si>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</si>
  <si>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</si>
  <si>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</si>
  <si>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</si>
  <si>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</si>
  <si>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</si>
  <si>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</si>
  <si>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</si>
  <si>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</si>
  <si>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</si>
  <si>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</si>
  <si>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</si>
  <si>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</si>
  <si>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</si>
  <si>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</si>
  <si>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</si>
  <si>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</si>
  <si>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</si>
  <si>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</si>
  <si>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</si>
  <si>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</si>
  <si>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</si>
  <si>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</si>
  <si>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</si>
  <si>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</si>
  <si>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</si>
  <si>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</si>
  <si>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</si>
  <si>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</si>
  <si>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</si>
  <si>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</si>
  <si>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</si>
  <si>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</si>
  <si>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</si>
  <si>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</si>
  <si>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</si>
  <si>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</si>
  <si>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</si>
  <si>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</si>
  <si>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</si>
  <si>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</si>
  <si>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</si>
  <si>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</si>
  <si>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</si>
  <si>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</si>
  <si>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</si>
  <si>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</si>
  <si>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</si>
  <si>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</si>
  <si>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</si>
  <si>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</si>
  <si>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</si>
  <si>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</si>
  <si>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</si>
  <si>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</si>
  <si>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</si>
  <si>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</si>
  <si>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</si>
  <si>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</si>
  <si>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</si>
  <si>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</si>
  <si>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</si>
  <si>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</si>
  <si>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</si>
  <si>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</si>
  <si>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</si>
  <si>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</si>
  <si>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</si>
  <si>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</si>
  <si>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</si>
  <si>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</si>
  <si>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</si>
  <si>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</si>
  <si>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</si>
  <si>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</si>
  <si>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</si>
  <si>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</si>
  <si>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</si>
  <si>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</si>
  <si>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</si>
  <si>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</si>
  <si>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</si>
  <si>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</si>
  <si>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</si>
  <si>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</si>
  <si>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</si>
  <si>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</si>
  <si>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</si>
  <si>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</si>
  <si>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</si>
  <si>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</si>
  <si>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</si>
  <si>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</si>
  <si>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</si>
  <si>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</si>
  <si>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</si>
  <si>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</si>
  <si>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</si>
  <si>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</si>
  <si>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</si>
  <si>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</si>
  <si>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</si>
  <si>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</si>
  <si>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</si>
  <si>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</si>
  <si>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</si>
  <si>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</si>
  <si>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</si>
  <si>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</si>
  <si>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</si>
  <si>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</si>
  <si>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</si>
  <si>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</si>
  <si>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</si>
  <si>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</si>
  <si>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</si>
  <si>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</si>
  <si>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</si>
  <si>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</si>
  <si>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</si>
  <si>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</si>
  <si>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</si>
  <si>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</si>
  <si>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</si>
  <si>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</si>
  <si>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</si>
  <si>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</si>
  <si>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</si>
  <si>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</si>
  <si>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</si>
  <si>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</si>
  <si>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</si>
  <si>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</si>
  <si>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</si>
  <si>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</si>
  <si>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</si>
  <si>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</si>
  <si>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</si>
  <si>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</si>
  <si>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</si>
  <si>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</si>
  <si>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</si>
  <si>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</si>
  <si>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</si>
  <si>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</si>
  <si>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</si>
  <si>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</si>
  <si>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</si>
  <si>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</si>
  <si>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</si>
  <si>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</si>
  <si>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</si>
  <si>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</si>
  <si>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</si>
  <si>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</si>
  <si>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</si>
  <si>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</si>
  <si>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</si>
  <si>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</si>
  <si>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</si>
  <si>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</si>
  <si>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</si>
  <si>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</si>
  <si>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</si>
  <si>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</si>
  <si>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</si>
  <si>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</si>
  <si>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</si>
  <si>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</si>
  <si>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</si>
  <si>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</si>
  <si>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</si>
  <si>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</si>
  <si>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</si>
  <si>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</si>
  <si>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</si>
  <si>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</si>
  <si>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</si>
  <si>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</si>
  <si>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</si>
  <si>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</si>
  <si>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</si>
  <si>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</si>
  <si>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</si>
  <si>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</si>
  <si>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</si>
  <si>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</si>
  <si>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</si>
  <si>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</si>
  <si>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</si>
  <si>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</si>
  <si>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</si>
  <si>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</si>
  <si>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</si>
  <si>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</si>
  <si>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</si>
  <si>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</si>
  <si>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</si>
  <si>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</si>
  <si>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</si>
  <si>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</si>
  <si>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</si>
  <si>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</si>
  <si>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</si>
  <si>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</si>
  <si>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</si>
  <si>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</si>
  <si>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</si>
  <si>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</si>
  <si>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</si>
  <si>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</si>
  <si>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</si>
  <si>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</si>
  <si>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</si>
  <si>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</si>
  <si>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</si>
  <si>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</si>
  <si>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</si>
  <si>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</si>
  <si>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</si>
  <si>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</si>
  <si>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</si>
  <si>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</si>
  <si>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</si>
  <si>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</si>
  <si>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</si>
  <si>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</si>
  <si>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</si>
  <si>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</si>
  <si>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</si>
  <si>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</si>
  <si>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</si>
  <si>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</si>
  <si>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</si>
  <si>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</si>
  <si>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</si>
  <si>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</si>
  <si>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</si>
  <si>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</si>
  <si>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</si>
  <si>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</si>
  <si>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</si>
  <si>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</si>
  <si>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</si>
  <si>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</si>
  <si>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</si>
  <si>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</si>
  <si>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</si>
  <si>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</si>
  <si>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</si>
  <si>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</si>
  <si>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</si>
  <si>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</si>
  <si>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</si>
  <si>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</si>
  <si>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</si>
  <si>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</si>
  <si>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</si>
  <si>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</si>
  <si>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</si>
  <si>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</si>
  <si>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</si>
  <si>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</si>
  <si>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</si>
  <si>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</si>
  <si>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</si>
  <si>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</si>
  <si>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</si>
  <si>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</si>
  <si>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</si>
  <si>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</si>
  <si>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</si>
  <si>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</si>
  <si>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</si>
  <si>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</si>
  <si>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</si>
  <si>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</si>
  <si>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</si>
  <si>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</si>
  <si>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</si>
  <si>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</si>
  <si>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</si>
  <si>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</si>
  <si>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</si>
  <si>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</si>
  <si>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</si>
  <si>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</si>
  <si>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</si>
  <si>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</si>
  <si>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</si>
  <si>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</si>
  <si>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</si>
  <si>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</si>
  <si>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</si>
  <si>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</si>
  <si>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</si>
  <si>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</si>
  <si>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</si>
  <si>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</si>
  <si>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</si>
  <si>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</si>
  <si>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</si>
  <si>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</si>
  <si>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</si>
  <si>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</si>
  <si>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</si>
  <si>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</si>
  <si>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</si>
  <si>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</si>
  <si>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</si>
  <si>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</si>
  <si>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</si>
  <si>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</si>
  <si>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</si>
  <si>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</si>
  <si>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</si>
  <si>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</si>
  <si>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</si>
  <si>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</si>
  <si>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</si>
  <si>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</si>
  <si>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</si>
  <si>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</si>
  <si>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</si>
  <si>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</si>
  <si>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</si>
  <si>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</si>
  <si>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</si>
  <si>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</si>
  <si>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</si>
  <si>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</si>
  <si>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</si>
  <si>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</si>
  <si>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</si>
  <si>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</si>
  <si>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</si>
  <si>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</si>
  <si>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</si>
  <si>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</si>
  <si>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</si>
  <si>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</si>
  <si>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</si>
  <si>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</si>
  <si>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</si>
  <si>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</si>
  <si>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</si>
  <si>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</si>
  <si>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</si>
  <si>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</si>
  <si>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</si>
  <si>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</si>
  <si>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</si>
  <si>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</si>
  <si>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</si>
  <si>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</si>
  <si>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</si>
  <si>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</si>
  <si>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</si>
  <si>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</si>
  <si>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</si>
  <si>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</si>
  <si>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</si>
  <si>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</si>
  <si>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</si>
  <si>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</si>
  <si>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</si>
  <si>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</si>
  <si>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</si>
  <si>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</si>
  <si>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</si>
  <si>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</si>
  <si>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</si>
  <si>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</si>
  <si>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</si>
  <si>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</si>
  <si>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</si>
  <si>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</si>
  <si>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</si>
  <si>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</si>
  <si>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</si>
  <si>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</si>
  <si>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</si>
  <si>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</si>
  <si>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</si>
  <si>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</si>
  <si>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</si>
  <si>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</si>
  <si>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</si>
  <si>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</si>
  <si>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</si>
  <si>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</si>
  <si>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</si>
  <si>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</si>
  <si>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</si>
  <si>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</si>
  <si>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</si>
  <si>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</si>
  <si>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</si>
  <si>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</si>
  <si>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</si>
  <si>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</si>
  <si>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</si>
  <si>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</si>
  <si>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</si>
  <si>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</si>
  <si>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</si>
  <si>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</si>
  <si>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</si>
  <si>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</si>
  <si>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</si>
  <si>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</si>
  <si>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</si>
  <si>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</si>
  <si>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</si>
  <si>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</si>
  <si>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</si>
  <si>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</si>
  <si>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</si>
  <si>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</si>
  <si>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</si>
  <si>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</si>
  <si>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</si>
  <si>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</si>
  <si>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</si>
  <si>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</si>
  <si>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</si>
  <si>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</si>
  <si>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</si>
  <si>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</si>
  <si>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</si>
  <si>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</si>
  <si>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</si>
  <si>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</si>
  <si>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</si>
  <si>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</si>
  <si>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</si>
  <si>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</si>
  <si>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</si>
  <si>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</si>
  <si>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</si>
  <si>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</si>
  <si>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</si>
  <si>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</si>
  <si>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</si>
  <si>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</si>
  <si>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</si>
  <si>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</si>
  <si>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</si>
  <si>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</si>
  <si>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</si>
  <si>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</si>
  <si>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</si>
  <si>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</si>
  <si>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</si>
  <si>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</si>
  <si>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</si>
  <si>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</si>
  <si>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</si>
  <si>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</si>
  <si>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</si>
  <si>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</si>
  <si>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</si>
  <si>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</si>
  <si>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</si>
  <si>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</si>
  <si>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</si>
  <si>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</si>
  <si>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</si>
  <si>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</si>
  <si>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</si>
  <si>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</si>
  <si>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</si>
  <si>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</si>
  <si>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</si>
  <si>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</si>
  <si>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</si>
  <si>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</si>
  <si>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</si>
  <si>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</si>
  <si>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</si>
  <si>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</si>
  <si>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</si>
  <si>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</si>
  <si>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</si>
  <si>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</si>
  <si>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</si>
  <si>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</si>
  <si>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</si>
  <si>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</si>
  <si>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</si>
  <si>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</si>
  <si>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</si>
  <si>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</si>
  <si>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</si>
  <si>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</si>
  <si>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</si>
  <si>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</si>
  <si>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</si>
  <si>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</si>
  <si>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</si>
  <si>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</si>
  <si>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</si>
  <si>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</si>
  <si>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</si>
  <si>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</si>
  <si>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</si>
  <si>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</si>
  <si>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</si>
  <si>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</si>
  <si>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</si>
  <si>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</si>
  <si>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</si>
  <si>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</si>
  <si>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</si>
  <si>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</si>
  <si>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</si>
  <si>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</si>
  <si>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</si>
  <si>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</si>
  <si>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</si>
  <si>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</si>
  <si>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</si>
  <si>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</si>
  <si>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</si>
  <si>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</si>
  <si>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</si>
  <si>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</si>
  <si>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</si>
  <si>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</si>
  <si>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</si>
  <si>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</si>
  <si>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</si>
  <si>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</si>
  <si>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</si>
  <si>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</si>
  <si>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</si>
  <si>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</si>
  <si>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</si>
  <si>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</si>
  <si>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</si>
  <si>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</si>
  <si>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</si>
  <si>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</si>
  <si>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</si>
  <si>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</si>
  <si>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</si>
  <si>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</si>
  <si>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</si>
  <si>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</si>
  <si>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</si>
  <si>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</si>
  <si>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</si>
  <si>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</si>
  <si>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</si>
  <si>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</si>
  <si>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</si>
  <si>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</si>
  <si>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</si>
  <si>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</si>
  <si>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</si>
  <si>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</si>
  <si>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</si>
  <si>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</si>
  <si>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</si>
  <si>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</si>
  <si>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</si>
  <si>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</si>
  <si>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</si>
  <si>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</si>
  <si>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</si>
  <si>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</si>
  <si>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</si>
  <si>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</si>
  <si>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</si>
  <si>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</si>
  <si>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</si>
  <si>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</si>
  <si>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</si>
  <si>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</si>
  <si>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</si>
  <si>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</si>
  <si>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</si>
  <si>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</si>
  <si>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</si>
  <si>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</si>
  <si>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</si>
  <si>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</si>
  <si>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</si>
  <si>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</si>
  <si>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</si>
  <si>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</si>
  <si>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</si>
  <si>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</si>
  <si>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</si>
  <si>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</si>
  <si>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</si>
  <si>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</si>
  <si>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</si>
  <si>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</si>
  <si>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</si>
  <si>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</si>
  <si>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</si>
  <si>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</si>
  <si>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</si>
  <si>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</si>
  <si>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</si>
  <si>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</si>
  <si>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</si>
  <si>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</si>
  <si>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</si>
  <si>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</si>
  <si>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</si>
  <si>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</si>
  <si>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</si>
  <si>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</si>
  <si>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</si>
  <si>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</si>
  <si>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</si>
  <si>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</si>
  <si>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</si>
  <si>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</si>
  <si>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</si>
  <si>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</si>
  <si>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</si>
  <si>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</si>
  <si>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</si>
  <si>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</si>
  <si>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</si>
  <si>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</si>
  <si>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</si>
  <si>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</si>
  <si>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</si>
  <si>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</si>
  <si>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</si>
  <si>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</si>
  <si>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</si>
  <si>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</si>
  <si>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</si>
  <si>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</si>
  <si>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</si>
  <si>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</si>
  <si>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</si>
  <si>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</si>
  <si>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</si>
  <si>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</si>
  <si>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</si>
  <si>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</si>
  <si>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</si>
  <si>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</si>
  <si>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</si>
  <si>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</si>
  <si>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</si>
  <si>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</si>
  <si>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</si>
  <si>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</si>
  <si>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</si>
  <si>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</si>
  <si>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</si>
  <si>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</si>
  <si>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</si>
  <si>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</si>
  <si>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</si>
  <si>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</si>
  <si>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</si>
  <si>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</si>
  <si>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</si>
  <si>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</si>
  <si>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</si>
  <si>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</si>
  <si>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</si>
  <si>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</si>
  <si>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</si>
  <si>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</si>
  <si>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</si>
  <si>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</si>
  <si>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</si>
  <si>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</si>
  <si>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</si>
  <si>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</si>
  <si>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</si>
  <si>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</si>
  <si>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</si>
  <si>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</si>
  <si>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</si>
  <si>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</si>
  <si>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</si>
  <si>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</si>
  <si>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</si>
  <si>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</si>
  <si>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</si>
  <si>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</si>
  <si>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</si>
  <si>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</si>
  <si>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</si>
  <si>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</si>
  <si>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</si>
  <si>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</si>
  <si>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</si>
  <si>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</si>
  <si>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</si>
  <si>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</si>
  <si>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</si>
  <si>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</si>
  <si>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</si>
  <si>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</si>
  <si>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</si>
  <si>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</si>
  <si>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</si>
  <si>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</si>
  <si>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</si>
  <si>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</si>
  <si>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</si>
  <si>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</si>
  <si>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</si>
  <si>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</si>
  <si>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</si>
  <si>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</si>
  <si>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</si>
  <si>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</si>
  <si>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</si>
  <si>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</si>
  <si>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</si>
  <si>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</si>
  <si>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</si>
  <si>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</si>
  <si>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</si>
  <si>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</si>
  <si>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</si>
  <si>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</si>
  <si>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</si>
  <si>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</si>
  <si>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</si>
  <si>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</si>
  <si>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</si>
  <si>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</si>
  <si>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</si>
  <si>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</si>
  <si>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</si>
  <si>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</si>
  <si>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</si>
  <si>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</si>
  <si>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</si>
  <si>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</si>
  <si>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</si>
  <si>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</si>
  <si>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</si>
  <si>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</si>
  <si>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</si>
  <si>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</si>
  <si>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</si>
  <si>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</si>
  <si>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</si>
  <si>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</si>
  <si>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</si>
  <si>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</si>
  <si>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</si>
  <si>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</si>
  <si>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</si>
  <si>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</si>
  <si>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</si>
  <si>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</si>
  <si>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</si>
  <si>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</si>
  <si>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</si>
  <si>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</si>
  <si>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</si>
  <si>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</si>
  <si>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</si>
  <si>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</si>
  <si>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</si>
  <si>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</si>
  <si>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</si>
  <si>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</si>
  <si>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</si>
  <si>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</si>
  <si>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</si>
  <si>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</si>
  <si>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</si>
  <si>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</si>
  <si>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</si>
  <si>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</si>
  <si>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</si>
  <si>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</si>
  <si>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</si>
  <si>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</si>
  <si>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</si>
  <si>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</si>
  <si>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</si>
  <si>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</si>
  <si>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</si>
  <si>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</si>
  <si>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</si>
  <si>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</si>
  <si>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</si>
  <si>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</si>
  <si>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</si>
  <si>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</si>
  <si>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</si>
  <si>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</si>
  <si>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</si>
  <si>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</si>
  <si>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</si>
  <si>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</si>
  <si>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</si>
  <si>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</si>
  <si>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</si>
  <si>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</si>
  <si>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</si>
  <si>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</si>
  <si>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</si>
  <si>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</si>
  <si>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</si>
  <si>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</si>
  <si>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</si>
  <si>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</si>
  <si>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</si>
  <si>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</si>
  <si>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</si>
  <si>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</si>
  <si>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</si>
  <si>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</si>
  <si>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</si>
  <si>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</si>
  <si>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</si>
  <si>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</si>
  <si>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</si>
  <si>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</si>
  <si>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</si>
  <si>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</si>
  <si>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</si>
  <si>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</si>
  <si>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</si>
  <si>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</si>
  <si>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</si>
  <si>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</si>
  <si>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</si>
  <si>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</si>
  <si>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</si>
  <si>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</si>
  <si>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</si>
  <si>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</si>
  <si>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</si>
  <si>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</si>
  <si>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</si>
  <si>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</si>
  <si>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</si>
  <si>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</si>
  <si>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</si>
  <si>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</si>
  <si>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</si>
  <si>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</si>
  <si>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</si>
  <si>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</si>
  <si>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</si>
  <si>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</si>
  <si>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</si>
  <si>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</si>
  <si>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</si>
  <si>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</si>
  <si>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</si>
  <si>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</si>
  <si>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</si>
  <si>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</si>
  <si>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</si>
  <si>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</si>
  <si>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</si>
  <si>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</si>
  <si>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</si>
  <si>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</si>
  <si>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</si>
  <si>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</si>
  <si>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24999</t>
  </si>
  <si>
    <t>35000 to 39999</t>
  </si>
  <si>
    <t>40000 to 44999</t>
  </si>
  <si>
    <t>45000 to 49999</t>
  </si>
  <si>
    <t>50000 or greater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</si>
  <si>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</si>
  <si>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</si>
  <si>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</si>
  <si>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</si>
  <si>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</si>
  <si>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</si>
  <si>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</si>
  <si>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</si>
  <si>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Quartile 1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</si>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</sst>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Category!Success by 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D-1041-9CDA-223A7BEE3410}"/>
            </c:ext>
          </c:extLst>
        </c:ser>
        <c:ser>
          <c:idx val="1"/>
          <c:order val="1"/>
          <c:tx>
            <c:strRef>
              <c:f>'Success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37D-3343-89D1-6CAB8D497910}"/>
            </c:ext>
          </c:extLst>
        </c:ser>
        <c:ser>
          <c:idx val="2"/>
          <c:order val="2"/>
          <c:tx>
            <c:strRef>
              <c:f>'Success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37D-3343-89D1-6CAB8D497910}"/>
            </c:ext>
          </c:extLst>
        </c:ser>
        <c:ser>
          <c:idx val="3"/>
          <c:order val="3"/>
          <c:tx>
            <c:strRef>
              <c:f>'Success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37D-3343-89D1-6CAB8D49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5907087"/>
        <c:axId val="406688735"/>
      </c:barChart>
      <c:catAx>
        <c:axId val="4059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8735"/>
        <c:crosses val="autoZero"/>
        <c:auto val="1"/>
        <c:lblAlgn val="ctr"/>
        <c:lblOffset val="100"/>
        <c:noMultiLvlLbl val="0"/>
      </c:catAx>
      <c:valAx>
        <c:axId val="4066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Category!Success by Category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D-1041-9CDA-223A7BEE3410}"/>
            </c:ext>
          </c:extLst>
        </c:ser>
        <c:ser>
          <c:idx val="1"/>
          <c:order val="1"/>
          <c:tx>
            <c:strRef>
              <c:f>'Success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37D-3343-89D1-6CAB8D497910}"/>
            </c:ext>
          </c:extLst>
        </c:ser>
        <c:ser>
          <c:idx val="2"/>
          <c:order val="2"/>
          <c:tx>
            <c:strRef>
              <c:f>'Success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37D-3343-89D1-6CAB8D497910}"/>
            </c:ext>
          </c:extLst>
        </c:ser>
        <c:ser>
          <c:idx val="3"/>
          <c:order val="3"/>
          <c:tx>
            <c:strRef>
              <c:f>'Success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37D-3343-89D1-6CAB8D49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5907087"/>
        <c:axId val="406688735"/>
      </c:barChart>
      <c:catAx>
        <c:axId val="4059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8735"/>
        <c:crosses val="autoZero"/>
        <c:auto val="1"/>
        <c:lblAlgn val="ctr"/>
        <c:lblOffset val="100"/>
        <c:noMultiLvlLbl val="0"/>
      </c:catAx>
      <c:valAx>
        <c:axId val="4066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Successes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6D42-817E-F7E62ABACD41}"/>
            </c:ext>
          </c:extLst>
        </c:ser>
        <c:ser>
          <c:idx val="1"/>
          <c:order val="1"/>
          <c:tx>
            <c:strRef>
              <c:f>'Success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E8-6D42-817E-F7E62ABACD41}"/>
            </c:ext>
          </c:extLst>
        </c:ser>
        <c:ser>
          <c:idx val="2"/>
          <c:order val="2"/>
          <c:tx>
            <c:strRef>
              <c:f>'Success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E8-6D42-817E-F7E62ABACD41}"/>
            </c:ext>
          </c:extLst>
        </c:ser>
        <c:ser>
          <c:idx val="3"/>
          <c:order val="3"/>
          <c:tx>
            <c:strRef>
              <c:f>'Success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E8-6D42-817E-F7E62ABA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90143"/>
        <c:axId val="43809071"/>
      </c:barChart>
      <c:catAx>
        <c:axId val="394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071"/>
        <c:crosses val="autoZero"/>
        <c:auto val="1"/>
        <c:lblAlgn val="ctr"/>
        <c:lblOffset val="100"/>
        <c:noMultiLvlLbl val="0"/>
      </c:catAx>
      <c:valAx>
        <c:axId val="438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Date!PivotTable13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Successes by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7-D04D-A601-4266132DD8C9}"/>
            </c:ext>
          </c:extLst>
        </c:ser>
        <c:ser>
          <c:idx val="1"/>
          <c:order val="1"/>
          <c:tx>
            <c:strRef>
              <c:f>'Success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7-D04D-A601-4266132DD8C9}"/>
            </c:ext>
          </c:extLst>
        </c:ser>
        <c:ser>
          <c:idx val="2"/>
          <c:order val="2"/>
          <c:tx>
            <c:strRef>
              <c:f>'Success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7-D04D-A601-4266132D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06591"/>
        <c:axId val="18789967"/>
      </c:lineChart>
      <c:catAx>
        <c:axId val="4062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967"/>
        <c:crosses val="autoZero"/>
        <c:auto val="1"/>
        <c:lblAlgn val="ctr"/>
        <c:lblOffset val="100"/>
        <c:noMultiLvlLbl val="0"/>
      </c:catAx>
      <c:valAx>
        <c:axId val="187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D7-0540-B187-2C8978B4FFC9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7-0540-B187-2C8978B4FFC9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D7-0540-B187-2C8978B4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168160"/>
        <c:axId val="1639269088"/>
      </c:lineChart>
      <c:catAx>
        <c:axId val="16791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69088"/>
        <c:crosses val="autoZero"/>
        <c:auto val="1"/>
        <c:lblAlgn val="ctr"/>
        <c:lblOffset val="100"/>
        <c:noMultiLvlLbl val="0"/>
      </c:catAx>
      <c:valAx>
        <c:axId val="1639269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681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553357</xdr:colOff>
      <xdr:row>2</xdr:row>
      <xdr:rowOff>75292</xdr:rowOff>
    </xdr:from>
    <xdr:to>
      <xdr:col>13</xdr:col>
      <xdr:colOff>435428</xdr:colOff>
      <xdr:row>20</xdr:row>
      <xdr:rowOff>90713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4E55-5E22-F98F-0CFA-B3918421B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616857</xdr:colOff>
      <xdr:row>2</xdr:row>
      <xdr:rowOff>84364</xdr:rowOff>
    </xdr:from>
    <xdr:to>
      <xdr:col>13</xdr:col>
      <xdr:colOff>498928</xdr:colOff>
      <xdr:row>20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4CAF2-6132-8148-790C-BCAA72D14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263072</xdr:colOff>
      <xdr:row>2</xdr:row>
      <xdr:rowOff>156934</xdr:rowOff>
    </xdr:from>
    <xdr:to>
      <xdr:col>14</xdr:col>
      <xdr:colOff>217714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9AE82-CF14-7DC5-237B-59B17712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272143</xdr:colOff>
      <xdr:row>1</xdr:row>
      <xdr:rowOff>166006</xdr:rowOff>
    </xdr:from>
    <xdr:to>
      <xdr:col>10</xdr:col>
      <xdr:colOff>952501</xdr:colOff>
      <xdr:row>18</xdr:row>
      <xdr:rowOff>81641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53A43-B427-D452-54F0-4078D595A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1074616</xdr:colOff>
      <xdr:row>14</xdr:row>
      <xdr:rowOff>977</xdr:rowOff>
    </xdr:from>
    <xdr:to>
      <xdr:col>8</xdr:col>
      <xdr:colOff>127000</xdr:colOff>
      <xdr:row>27</xdr:row>
      <xdr:rowOff>77177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4D514-FE29-A61A-CF55-F71055334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y Upright" refreshedDate="45265.902664236113" createdVersion="8" refreshedVersion="8" minRefreshableVersion="3" recordCount="1000" xr:uid="{48911216-1008-F846-B461-C4A1DAB711B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y Upright" refreshedDate="45266.763132523149" createdVersion="8" refreshedVersion="8" minRefreshableVersion="3" recordCount="1001" xr:uid="{CC16A9E3-7B66-2943-B7F6-98836DF2A12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352FC-1C49-A847-B2BA-4B95E3B4C3D4}" name="Success by 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uccesses by Category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010AE-F583-FE49-B560-292667D1A32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ACC3A-DD3A-984A-B400-931556F62102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130" zoomScaleNormal="130" workbookViewId="0">
      <pane xSplit="1" topLeftCell="C1" activePane="topRight" state="frozen"/>
      <selection pane="topRight"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2.83203125" bestFit="1" customWidth="1"/>
    <col min="15" max="15" width="21.5" bestFit="1" customWidth="1"/>
    <col min="18" max="18" width="28" bestFit="1" customWidth="1"/>
    <col min="19" max="19" width="15.16406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E2/D2*100</f>
        <v>0</v>
      </c>
      <c r="G2" t="s">
        <v>14</v>
      </c>
      <c r="H2">
        <v>0</v>
      </c>
      <c r="I2">
        <f>E2</f>
        <v>0</v>
      </c>
      <c r="J2" t="s">
        <v>15</v>
      </c>
      <c r="K2" t="s">
        <v>16</v>
      </c>
      <c r="L2">
        <v>1448690400</v>
      </c>
      <c r="M2">
        <v>1450159200</v>
      </c>
      <c r="N2" s="6">
        <f>L2/86400+DATE(1970,1,1)</f>
        <v>42336.25</v>
      </c>
      <c r="O2" s="6">
        <f>M2/86400+DATE(1970,1,1)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L3/86400+DATE(1970,1,1)</f>
        <v>41870.208333333336</v>
      </c>
      <c r="O3" s="6">
        <f t="shared" ref="O3:O66" si="3">M3/86400+DATE(1970,1,1)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E66/D66*100</f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L67/86400+DATE(1970,1,1)</f>
        <v>40570.25</v>
      </c>
      <c r="O67" s="6">
        <f t="shared" ref="O67:O130" si="7">M67/86400+DATE(1970,1,1)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8">E130/D130*100</f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L131/86400+DATE(1970,1,1)</f>
        <v>42038.25</v>
      </c>
      <c r="O131" s="6">
        <f t="shared" ref="O131:O194" si="11">M131/86400+DATE(1970,1,1)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2">E194/D194*100</f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L195/86400+DATE(1970,1,1)</f>
        <v>43198.208333333328</v>
      </c>
      <c r="O195" s="6">
        <f t="shared" ref="O195:O258" si="15">M195/86400+DATE(1970,1,1)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6">E258/D258*100</f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L259/86400+DATE(1970,1,1)</f>
        <v>41338.25</v>
      </c>
      <c r="O259" s="6">
        <f t="shared" ref="O259:O322" si="19">M259/86400+DATE(1970,1,1)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0">E322/D322*100</f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L323/86400+DATE(1970,1,1)</f>
        <v>40634.208333333336</v>
      </c>
      <c r="O323" s="6">
        <f t="shared" ref="O323:O386" si="23">M323/86400+DATE(1970,1,1)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4">E386/D386*100</f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L387/86400+DATE(1970,1,1)</f>
        <v>43553.208333333328</v>
      </c>
      <c r="O387" s="6">
        <f t="shared" ref="O387:O450" si="27">M387/86400+DATE(1970,1,1)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8">E450/D450*100</f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L451/86400+DATE(1970,1,1)</f>
        <v>43530.25</v>
      </c>
      <c r="O451" s="6">
        <f t="shared" ref="O451:O514" si="31">M451/86400+DATE(1970,1,1)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2">E514/D514*100</f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39.277108433734945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L515/86400+DATE(1970,1,1)</f>
        <v>40430.208333333336</v>
      </c>
      <c r="O515" s="6">
        <f t="shared" ref="O515:O578" si="35">M515/86400+DATE(1970,1,1)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6">E578/D578*100</f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18.853658536585368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L579/86400+DATE(1970,1,1)</f>
        <v>40613.25</v>
      </c>
      <c r="O579" s="6">
        <f t="shared" ref="O579:O642" si="39">M579/86400+DATE(1970,1,1)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0">E642/D642*100</f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119.96808510638297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L643/86400+DATE(1970,1,1)</f>
        <v>42786.25</v>
      </c>
      <c r="O643" s="6">
        <f t="shared" ref="O643:O706" si="43">M643/86400+DATE(1970,1,1)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4">E706/D706*100</f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99.026517383618156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L707/86400+DATE(1970,1,1)</f>
        <v>41619.25</v>
      </c>
      <c r="O707" s="6">
        <f t="shared" ref="O707:O770" si="47">M707/86400+DATE(1970,1,1)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8">E770/D770*100</f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86.867834394904463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L771/86400+DATE(1970,1,1)</f>
        <v>41501.208333333336</v>
      </c>
      <c r="O771" s="6">
        <f t="shared" ref="O771:O834" si="51">M771/86400+DATE(1970,1,1)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2">E834/D834*100</f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157.69117647058823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L835/86400+DATE(1970,1,1)</f>
        <v>40588.25</v>
      </c>
      <c r="O835" s="6">
        <f t="shared" ref="O835:O898" si="55">M835/86400+DATE(1970,1,1)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6">E898/D898*100</f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27.693181818181817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L899/86400+DATE(1970,1,1)</f>
        <v>43583.208333333328</v>
      </c>
      <c r="O899" s="6">
        <f t="shared" ref="O899:O962" si="59">M899/86400+DATE(1970,1,1)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60">E962/D962*100</f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119.29824561403508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L963/86400+DATE(1970,1,1)</f>
        <v>40591.25</v>
      </c>
      <c r="O963" s="6">
        <f t="shared" ref="O963:O1001" si="63">M963/86400+DATE(1970,1,1)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B0F0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FAA8-6ED5-5B44-9BFB-6468F22D34F1}">
  <dimension ref="A1:F14"/>
  <sheetViews>
    <sheetView zoomScale="140" zoomScaleNormal="140" workbookViewId="0">
      <selection activeCell="G7" sqref="G7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2067</v>
      </c>
    </row>
    <row r="3" spans="1:6" x14ac:dyDescent="0.2">
      <c r="A3" s="4" t="s">
        <v>2066</v>
      </c>
      <c r="B3" s="4" t="s">
        <v>2070</v>
      </c>
    </row>
    <row r="4" spans="1:6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6A7C-776F-7349-AE38-FD837C955868}">
  <dimension ref="A1:F30"/>
  <sheetViews>
    <sheetView topLeftCell="A4" zoomScale="140" zoomScaleNormal="140" workbookViewId="0">
      <selection activeCell="F2" sqref="F2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2067</v>
      </c>
    </row>
    <row r="2" spans="1:6" x14ac:dyDescent="0.2">
      <c r="A2" s="4" t="s">
        <v>2031</v>
      </c>
      <c r="B2" t="s">
        <v>2067</v>
      </c>
    </row>
    <row r="4" spans="1:6" x14ac:dyDescent="0.2">
      <c r="A4" s="4" t="s">
        <v>2066</v>
      </c>
      <c r="B4" s="4" t="s">
        <v>2070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3ACF-F535-4848-8945-D8003894E082}">
  <dimension ref="A1:E18"/>
  <sheetViews>
    <sheetView zoomScale="140" zoomScaleNormal="140" workbookViewId="0">
      <selection activeCell="H19" sqref="H19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57" width="15.5" bestFit="1" customWidth="1"/>
    <col min="58" max="58" width="13.1640625" bestFit="1" customWidth="1"/>
    <col min="59" max="401" width="11.83203125" bestFit="1" customWidth="1"/>
    <col min="402" max="402" width="10.5" bestFit="1" customWidth="1"/>
    <col min="403" max="416" width="11.83203125" bestFit="1" customWidth="1"/>
    <col min="417" max="417" width="8.83203125" bestFit="1" customWidth="1"/>
    <col min="418" max="938" width="12.33203125" bestFit="1" customWidth="1"/>
    <col min="939" max="939" width="14.1640625" bestFit="1" customWidth="1"/>
  </cols>
  <sheetData>
    <row r="1" spans="1:5" x14ac:dyDescent="0.2">
      <c r="A1" s="4" t="s">
        <v>2031</v>
      </c>
      <c r="B1" t="s">
        <v>2067</v>
      </c>
    </row>
    <row r="2" spans="1:5" x14ac:dyDescent="0.2">
      <c r="A2" s="4" t="s">
        <v>2085</v>
      </c>
      <c r="B2" t="s">
        <v>2067</v>
      </c>
    </row>
    <row r="4" spans="1:5" x14ac:dyDescent="0.2">
      <c r="A4" s="4" t="s">
        <v>2066</v>
      </c>
      <c r="B4" s="4" t="s">
        <v>2070</v>
      </c>
    </row>
    <row r="5" spans="1:5" x14ac:dyDescent="0.2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4DA7-2665-FD42-A37C-17011C6941BC}">
  <dimension ref="A1:H13"/>
  <sheetViews>
    <sheetView topLeftCell="B7" zoomScale="130" zoomScaleNormal="130" workbookViewId="0">
      <selection activeCell="I16" sqref="I16"/>
    </sheetView>
  </sheetViews>
  <sheetFormatPr baseColWidth="10" defaultRowHeight="16" x14ac:dyDescent="0.2"/>
  <cols>
    <col min="1" max="1" width="15.1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COUNTIFS(Crowdfunding!$D:$D, "&lt;1000", Crowdfunding!$G:$G, "=successful")</f>
        <v>30</v>
      </c>
      <c r="C2">
        <f>COUNTIFS(Crowdfunding!$D:$D, "&lt;1000", Crowdfunding!$G:$G, "=failed")</f>
        <v>20</v>
      </c>
      <c r="D2">
        <f>COUNTIFS(Crowdfunding!$D:$D, "&lt;1000", Crowdfunding!$G:$G, "=canceled")</f>
        <v>1</v>
      </c>
      <c r="E2">
        <f>SUM(B2:D2)</f>
        <v>51</v>
      </c>
      <c r="F2" s="7">
        <f>B2/$E2</f>
        <v>0.58823529411764708</v>
      </c>
      <c r="G2" s="7">
        <f t="shared" ref="G2:H13" si="0">C2/$E2</f>
        <v>0.39215686274509803</v>
      </c>
      <c r="H2" s="7">
        <f t="shared" si="0"/>
        <v>1.9607843137254902E-2</v>
      </c>
    </row>
    <row r="3" spans="1:8" x14ac:dyDescent="0.2">
      <c r="A3" t="s">
        <v>2095</v>
      </c>
      <c r="B3">
        <f>COUNTIFS(Crowdfunding!$D:$D, "&gt;999", Crowdfunding!$G:$G, "=successful", Crowdfunding!$D:$D, "&lt;5000")</f>
        <v>191</v>
      </c>
      <c r="C3">
        <f>COUNTIFS(Crowdfunding!$D:$D, "&gt;999", Crowdfunding!$G:$G, "=failed", Crowdfunding!$D:$D, "&lt;5000")</f>
        <v>38</v>
      </c>
      <c r="D3">
        <f>COUNTIFS(Crowdfunding!$D:$D, "&gt;999", Crowdfunding!$G:$G, "=canceled", Crowdfunding!$D:$D, "&lt;5000")</f>
        <v>2</v>
      </c>
      <c r="E3">
        <f t="shared" ref="E3:E13" si="1">SUM(B3:D3)</f>
        <v>231</v>
      </c>
      <c r="F3" s="7">
        <f t="shared" ref="F3:F13" si="2">B3/$E3</f>
        <v>0.82683982683982682</v>
      </c>
      <c r="G3" s="7">
        <f t="shared" si="0"/>
        <v>0.16450216450216451</v>
      </c>
      <c r="H3" s="7">
        <f t="shared" si="0"/>
        <v>8.658008658008658E-3</v>
      </c>
    </row>
    <row r="4" spans="1:8" x14ac:dyDescent="0.2">
      <c r="A4" t="s">
        <v>2096</v>
      </c>
      <c r="B4">
        <f>COUNTIFS(Crowdfunding!$D:$D, "&gt;4999", Crowdfunding!$G:$G, "=successful", Crowdfunding!$D:$D, "&lt;10000")</f>
        <v>164</v>
      </c>
      <c r="C4">
        <f>COUNTIFS(Crowdfunding!$D:$D, "&gt;4999", Crowdfunding!$G:$G, "=failed", Crowdfunding!$D:$D, "&lt;10000")</f>
        <v>126</v>
      </c>
      <c r="D4">
        <f>COUNTIFS(Crowdfunding!$D:$D, "&gt;4999", Crowdfunding!$G:$G, "=canceled", Crowdfunding!$D:$D, "&lt;10000")</f>
        <v>25</v>
      </c>
      <c r="E4">
        <f t="shared" si="1"/>
        <v>315</v>
      </c>
      <c r="F4" s="7">
        <f t="shared" si="2"/>
        <v>0.52063492063492067</v>
      </c>
      <c r="G4" s="7">
        <f t="shared" si="0"/>
        <v>0.4</v>
      </c>
      <c r="H4" s="7">
        <f t="shared" si="0"/>
        <v>7.9365079365079361E-2</v>
      </c>
    </row>
    <row r="5" spans="1:8" x14ac:dyDescent="0.2">
      <c r="A5" t="s">
        <v>2097</v>
      </c>
      <c r="B5">
        <f>COUNTIFS(Crowdfunding!$D:$D, "&gt;9999", Crowdfunding!$G:$G, "=successful", Crowdfunding!$D:$D, "&lt;15000")</f>
        <v>4</v>
      </c>
      <c r="C5">
        <f>COUNTIFS(Crowdfunding!$D:$D, "&gt;9999", Crowdfunding!$G:$G, "=failed", Crowdfunding!$D:$D, "&lt;15000")</f>
        <v>5</v>
      </c>
      <c r="D5">
        <f>COUNTIFS(Crowdfunding!$D:$D, "&gt;9999", Crowdfunding!$G:$G, "=canceled", Crowdfunding!$D:$D, "&lt;15000")</f>
        <v>0</v>
      </c>
      <c r="E5">
        <f t="shared" si="1"/>
        <v>9</v>
      </c>
      <c r="F5" s="7">
        <f t="shared" si="2"/>
        <v>0.44444444444444442</v>
      </c>
      <c r="G5" s="7">
        <f t="shared" si="0"/>
        <v>0.55555555555555558</v>
      </c>
      <c r="H5" s="7">
        <f t="shared" si="0"/>
        <v>0</v>
      </c>
    </row>
    <row r="6" spans="1:8" x14ac:dyDescent="0.2">
      <c r="A6" t="s">
        <v>2098</v>
      </c>
      <c r="B6">
        <f>COUNTIFS(Crowdfunding!$D:$D, "&gt;14999", Crowdfunding!$G:$G, "=successful", Crowdfunding!$D:$D, "&lt;20000")</f>
        <v>10</v>
      </c>
      <c r="C6">
        <f>COUNTIFS(Crowdfunding!$D:$D, "&gt;14999", Crowdfunding!$G:$G, "=failed", Crowdfunding!$D:$D, "&lt;20000")</f>
        <v>0</v>
      </c>
      <c r="D6">
        <f>COUNTIFS(Crowdfunding!$D:$D, "&gt;14999", Crowdfunding!$G:$G, "=canceled", Crowdfunding!$D:$D, "&lt;20000")</f>
        <v>0</v>
      </c>
      <c r="E6">
        <f t="shared" si="1"/>
        <v>10</v>
      </c>
      <c r="F6" s="7">
        <f t="shared" si="2"/>
        <v>1</v>
      </c>
      <c r="G6" s="7">
        <f t="shared" si="0"/>
        <v>0</v>
      </c>
      <c r="H6" s="7">
        <f t="shared" si="0"/>
        <v>0</v>
      </c>
    </row>
    <row r="7" spans="1:8" x14ac:dyDescent="0.2">
      <c r="A7" t="s">
        <v>2099</v>
      </c>
      <c r="B7">
        <f>COUNTIFS(Crowdfunding!$D:$D, "&gt;19999", Crowdfunding!$G:$G, "=successful", Crowdfunding!$D:$D, "&lt;25000")</f>
        <v>7</v>
      </c>
      <c r="C7">
        <f>COUNTIFS(Crowdfunding!$D:$D, "&gt;19999", Crowdfunding!$G:$G, "=failed", Crowdfunding!$D:$D, "&lt;25000")</f>
        <v>0</v>
      </c>
      <c r="D7">
        <f>COUNTIFS(Crowdfunding!$D:$D, "&gt;19999", Crowdfunding!$G:$G, "=canceled", Crowdfunding!$D:$D, "&lt;25000")</f>
        <v>0</v>
      </c>
      <c r="E7">
        <f t="shared" si="1"/>
        <v>7</v>
      </c>
      <c r="F7" s="7">
        <f t="shared" si="2"/>
        <v>1</v>
      </c>
      <c r="G7" s="7">
        <f t="shared" si="0"/>
        <v>0</v>
      </c>
      <c r="H7" s="7">
        <f t="shared" si="0"/>
        <v>0</v>
      </c>
    </row>
    <row r="8" spans="1:8" x14ac:dyDescent="0.2">
      <c r="A8" t="s">
        <v>2100</v>
      </c>
      <c r="B8">
        <f>COUNTIFS(Crowdfunding!$D:$D, "&gt;24999", Crowdfunding!$G:$G, "=successful", Crowdfunding!$D:$D, "&lt;30000")</f>
        <v>11</v>
      </c>
      <c r="C8">
        <f>COUNTIFS(Crowdfunding!$D:$D, "&gt;24999", Crowdfunding!$G:$G, "=failed", Crowdfunding!$D:$D, "&lt;30000")</f>
        <v>3</v>
      </c>
      <c r="D8">
        <f>COUNTIFS(Crowdfunding!$D:$D, "&gt;24999", Crowdfunding!$G:$G, "=canceled", Crowdfunding!$D:$D, "&lt;30000")</f>
        <v>0</v>
      </c>
      <c r="E8">
        <f t="shared" si="1"/>
        <v>14</v>
      </c>
      <c r="F8" s="7">
        <f t="shared" si="2"/>
        <v>0.7857142857142857</v>
      </c>
      <c r="G8" s="7">
        <f t="shared" si="0"/>
        <v>0.21428571428571427</v>
      </c>
      <c r="H8" s="7">
        <f t="shared" si="0"/>
        <v>0</v>
      </c>
    </row>
    <row r="9" spans="1:8" x14ac:dyDescent="0.2">
      <c r="A9" t="s">
        <v>2101</v>
      </c>
      <c r="B9">
        <f>COUNTIFS(Crowdfunding!$D:$D, "&gt;29999", Crowdfunding!$G:$G, "=successful", Crowdfunding!$D:$D, "&lt;35000")</f>
        <v>7</v>
      </c>
      <c r="C9">
        <f>COUNTIFS(Crowdfunding!$D:$D, "&gt;29999", Crowdfunding!$G:$G, "=failed", Crowdfunding!$D:$D, "&lt;35000")</f>
        <v>0</v>
      </c>
      <c r="D9">
        <f>COUNTIFS(Crowdfunding!$D:$D, "&gt;29999", Crowdfunding!$G:$G, "=canceled", Crowdfunding!$D:$D, "&lt;35000")</f>
        <v>0</v>
      </c>
      <c r="E9">
        <f t="shared" si="1"/>
        <v>7</v>
      </c>
      <c r="F9" s="7">
        <f t="shared" si="2"/>
        <v>1</v>
      </c>
      <c r="G9" s="7">
        <f t="shared" si="0"/>
        <v>0</v>
      </c>
      <c r="H9" s="7">
        <f t="shared" si="0"/>
        <v>0</v>
      </c>
    </row>
    <row r="10" spans="1:8" x14ac:dyDescent="0.2">
      <c r="A10" t="s">
        <v>2102</v>
      </c>
      <c r="B10">
        <f>COUNTIFS(Crowdfunding!$D:$D, "&gt;34999", Crowdfunding!$G:$G, "=successful", Crowdfunding!$D:$D, "&lt;40000")</f>
        <v>8</v>
      </c>
      <c r="C10">
        <f>COUNTIFS(Crowdfunding!$D:$D, "&gt;34999", Crowdfunding!$G:$G, "=failed", Crowdfunding!$D:$D, "&lt;40000")</f>
        <v>3</v>
      </c>
      <c r="D10">
        <f>COUNTIFS(Crowdfunding!$D:$D, "&gt;34999", Crowdfunding!$G:$G, "=canceled", Crowdfunding!$D:$D, "&lt;40000")</f>
        <v>1</v>
      </c>
      <c r="E10">
        <f t="shared" si="1"/>
        <v>12</v>
      </c>
      <c r="F10" s="7">
        <f t="shared" si="2"/>
        <v>0.66666666666666663</v>
      </c>
      <c r="G10" s="7">
        <f t="shared" si="0"/>
        <v>0.25</v>
      </c>
      <c r="H10" s="7">
        <f t="shared" si="0"/>
        <v>8.3333333333333329E-2</v>
      </c>
    </row>
    <row r="11" spans="1:8" x14ac:dyDescent="0.2">
      <c r="A11" t="s">
        <v>2103</v>
      </c>
      <c r="B11">
        <f>COUNTIFS(Crowdfunding!$D:$D, "&gt;39999", Crowdfunding!$G:$G, "=successful", Crowdfunding!$D:$D, "&lt;45000")</f>
        <v>11</v>
      </c>
      <c r="C11">
        <f>COUNTIFS(Crowdfunding!$D:$D, "&gt;39999", Crowdfunding!$G:$G, "=failed", Crowdfunding!$D:$D, "&lt;45000")</f>
        <v>3</v>
      </c>
      <c r="D11">
        <f>COUNTIFS(Crowdfunding!$D:$D, "&gt;39999", Crowdfunding!$G:$G, "=canceled", Crowdfunding!$D:$D, "&lt;45000")</f>
        <v>0</v>
      </c>
      <c r="E11">
        <f t="shared" si="1"/>
        <v>14</v>
      </c>
      <c r="F11" s="7">
        <f t="shared" si="2"/>
        <v>0.7857142857142857</v>
      </c>
      <c r="G11" s="7">
        <f t="shared" si="0"/>
        <v>0.21428571428571427</v>
      </c>
      <c r="H11" s="7">
        <f t="shared" si="0"/>
        <v>0</v>
      </c>
    </row>
    <row r="12" spans="1:8" x14ac:dyDescent="0.2">
      <c r="A12" t="s">
        <v>2104</v>
      </c>
      <c r="B12">
        <f>COUNTIFS(Crowdfunding!$D:$D, "&gt;44999", Crowdfunding!$G:$G, "=successful", Crowdfunding!$D:$D, "&lt;50000")</f>
        <v>8</v>
      </c>
      <c r="C12">
        <f>COUNTIFS(Crowdfunding!$D:$D, "&gt;44999", Crowdfunding!$G:$G, "=failed", Crowdfunding!$D:$D, "&lt;50000")</f>
        <v>3</v>
      </c>
      <c r="D12">
        <f>COUNTIFS(Crowdfunding!$D:$D, "&gt;44999", Crowdfunding!$G:$G, "=canceled", Crowdfunding!$D:$D, "&lt;50000")</f>
        <v>0</v>
      </c>
      <c r="E12">
        <f t="shared" si="1"/>
        <v>11</v>
      </c>
      <c r="F12" s="7">
        <f t="shared" si="2"/>
        <v>0.72727272727272729</v>
      </c>
      <c r="G12" s="7">
        <f t="shared" si="0"/>
        <v>0.27272727272727271</v>
      </c>
      <c r="H12" s="7">
        <f t="shared" si="0"/>
        <v>0</v>
      </c>
    </row>
    <row r="13" spans="1:8" x14ac:dyDescent="0.2">
      <c r="A13" t="s">
        <v>2105</v>
      </c>
      <c r="B13">
        <f>COUNTIFS(Crowdfunding!$D:$D, "&gt;49999", Crowdfunding!$G:$G, "=successful")</f>
        <v>114</v>
      </c>
      <c r="C13">
        <f>COUNTIFS(Crowdfunding!$D:$D, "&gt;49999", Crowdfunding!$G:$G, "=failed")</f>
        <v>163</v>
      </c>
      <c r="D13">
        <f>COUNTIFS(Crowdfunding!$D:$D, "&gt;49999", Crowdfunding!$G:$G, "=canceled")</f>
        <v>28</v>
      </c>
      <c r="E13">
        <f t="shared" si="1"/>
        <v>305</v>
      </c>
      <c r="F13" s="7">
        <f t="shared" si="2"/>
        <v>0.3737704918032787</v>
      </c>
      <c r="G13" s="7">
        <f t="shared" si="0"/>
        <v>0.53442622950819674</v>
      </c>
      <c r="H13" s="7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B221-53A7-DB42-8BA5-EE9F29330C3C}">
  <dimension ref="A1:I566"/>
  <sheetViews>
    <sheetView tabSelected="1" zoomScale="130" zoomScaleNormal="130" workbookViewId="0">
      <selection activeCell="G1" sqref="G1:I9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7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2106</v>
      </c>
      <c r="I1" t="s">
        <v>2107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AVERAGE(B:B)</f>
        <v>851.14690265486729</v>
      </c>
      <c r="I2">
        <f>AVERAGE(E:E)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2114</v>
      </c>
      <c r="H3">
        <f>QUARTILE(B:B, 1)</f>
        <v>128</v>
      </c>
      <c r="I3">
        <f>QUARTILE(E:E, 1)</f>
        <v>38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MEDIAN(B:B)</f>
        <v>201</v>
      </c>
      <c r="I4">
        <f>MEDIAN(E:E)</f>
        <v>114.5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2115</v>
      </c>
      <c r="H5">
        <f>QUARTILE(B:B, 3)</f>
        <v>1280</v>
      </c>
      <c r="I5">
        <f>QUARTILE(E:E, 3)</f>
        <v>784.5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MIN(B:B)</f>
        <v>16</v>
      </c>
      <c r="I6">
        <f>MIN(E:E)</f>
        <v>0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MAX(B:B)</f>
        <v>7295</v>
      </c>
      <c r="I7">
        <f>MAX(E:E)</f>
        <v>6080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2112</v>
      </c>
      <c r="H8">
        <f>_xlfn.VAR.P(B:B)</f>
        <v>1603373.7324019109</v>
      </c>
      <c r="I8">
        <f>_xlfn.VAR.P(E:E)</f>
        <v>921574.68174133555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G9" t="s">
        <v>2113</v>
      </c>
      <c r="H9">
        <f>_xlfn.STDEV.P(B:B)</f>
        <v>1266.2439466397898</v>
      </c>
      <c r="I9">
        <f>_xlfn.STDEV.P(E:E)</f>
        <v>959.98681331637863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566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by Category</vt:lpstr>
      <vt:lpstr>Success by Sub-category</vt:lpstr>
      <vt:lpstr>Success by Date</vt:lpstr>
      <vt:lpstr>Goal Analysis</vt:lpstr>
      <vt:lpstr>Analysis of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Jody Upright</cp:lastModifiedBy>
  <dcterms:created xsi:type="dcterms:W3CDTF">2021-09-29T18:52:28Z</dcterms:created>
  <dcterms:modified xsi:type="dcterms:W3CDTF">2023-12-09T01:19:38Z</dcterms:modified>
</cp:coreProperties>
</file>