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TONG_HOP_TOAN_CAU" sheetId="1" state="visible" r:id="rId1"/>
    <sheet xmlns:r="http://schemas.openxmlformats.org/officeDocument/2006/relationships" name="DAM_SUPER_T_38.2M" sheetId="2" state="visible" r:id="rId2"/>
    <sheet xmlns:r="http://schemas.openxmlformats.org/officeDocument/2006/relationships" name="DAM_NGANG_BAN_MAT_CAU" sheetId="3" state="visible" r:id="rId3"/>
    <sheet xmlns:r="http://schemas.openxmlformats.org/officeDocument/2006/relationships" name="MO_M1_M2" sheetId="4" state="visible" r:id="rId4"/>
    <sheet xmlns:r="http://schemas.openxmlformats.org/officeDocument/2006/relationships" name="TRU_T1_T2" sheetId="5" state="visible" r:id="rId5"/>
    <sheet xmlns:r="http://schemas.openxmlformats.org/officeDocument/2006/relationships" name="COC_KHOAN_NHOI_D1200" sheetId="6" state="visible" r:id="rId6"/>
    <sheet xmlns:r="http://schemas.openxmlformats.org/officeDocument/2006/relationships" name="PHU_TRO_TU_NON_BAN_QUA_DO" sheetId="7" state="visible" r:id="rId7"/>
    <sheet xmlns:r="http://schemas.openxmlformats.org/officeDocument/2006/relationships" name="DOI_SOAT_CAD_RED_FLAG" sheetId="8" state="visible" r:id="rId8"/>
    <sheet xmlns:r="http://schemas.openxmlformats.org/officeDocument/2006/relationships" name="CAU_THANH_LIEN_KET_HE_THO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family val="2"/>
      <color theme="1"/>
      <sz val="11"/>
      <scheme val="minor"/>
    </font>
    <font>
      <name val="Segoe UI"/>
      <b val="1"/>
      <color rgb="FF1F497D"/>
      <sz val="13"/>
    </font>
    <font>
      <name val="Segoe UI"/>
      <i val="1"/>
      <color rgb="FF595959"/>
      <sz val="8.5"/>
    </font>
    <font>
      <name val="Segoe UI"/>
      <b val="1"/>
      <color rgb="FFFFFFFF"/>
      <sz val="9.5"/>
    </font>
    <font>
      <name val="Segoe UI"/>
      <b val="1"/>
      <color rgb="FF1F497D"/>
      <sz val="10"/>
    </font>
    <font>
      <name val="Segoe UI"/>
      <b val="1"/>
      <color rgb="FF000000"/>
      <sz val="9"/>
    </font>
    <font>
      <name val="Segoe UI"/>
      <color rgb="FF000000"/>
      <sz val="9"/>
    </font>
    <font>
      <name val="Segoe UI"/>
      <b val="1"/>
      <color rgb="FFC00000"/>
      <sz val="9"/>
    </font>
    <font>
      <name val="Segoe UI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9FBFD"/>
        <bgColor rgb="FFF9FBFD"/>
      </patternFill>
    </fill>
    <fill>
      <patternFill patternType="solid">
        <fgColor rgb="FFEDF2F8"/>
        <bgColor rgb="FFEDF2F8"/>
      </patternFill>
    </fill>
    <fill>
      <patternFill patternType="solid">
        <fgColor rgb="FFFDE9D9"/>
        <bgColor rgb="FFFDE9D9"/>
      </patternFill>
    </fill>
    <fill>
      <patternFill patternType="solid">
        <fgColor rgb="FF1F4E78"/>
        <bgColor rgb="FF1F4E7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97D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4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0" fontId="4" fillId="0" borderId="0" pivotButton="0" quotePrefix="0" xfId="0"/>
    <xf numFmtId="0" fontId="6" fillId="0" borderId="1" pivotButton="0" quotePrefix="0" xfId="0"/>
    <xf numFmtId="0" fontId="6" fillId="4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right" vertical="center"/>
    </xf>
    <xf numFmtId="0" fontId="0" fillId="0" borderId="3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4" fontId="6" fillId="0" borderId="3" applyAlignment="1" pivotButton="0" quotePrefix="0" xfId="0">
      <alignment horizontal="right" vertical="center"/>
    </xf>
    <xf numFmtId="4" fontId="0" fillId="0" borderId="3" applyAlignment="1" pivotButton="0" quotePrefix="0" xfId="0">
      <alignment horizontal="right" vertical="center"/>
    </xf>
    <xf numFmtId="0" fontId="5" fillId="4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left" vertical="center" wrapText="1"/>
    </xf>
    <xf numFmtId="4" fontId="6" fillId="4" borderId="3" applyAlignment="1" pivotButton="0" quotePrefix="0" xfId="0">
      <alignment horizontal="right" vertical="center"/>
    </xf>
    <xf numFmtId="0" fontId="5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/>
    </xf>
    <xf numFmtId="4" fontId="5" fillId="5" borderId="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12858750" cy="7505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31</row>
      <rowOff>0</rowOff>
    </from>
    <ext cx="12858750" cy="7505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14287500" cy="952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37</row>
      <rowOff>0</rowOff>
    </from>
    <ext cx="14287500" cy="952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71</row>
      <rowOff>0</rowOff>
    </from>
    <ext cx="14287500" cy="8239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3</row>
      <rowOff>0</rowOff>
    </from>
    <ext cx="14287500" cy="8791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14287500" cy="952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3</row>
      <rowOff>0</rowOff>
    </from>
    <ext cx="14287500" cy="952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workbookViewId="0">
      <selection activeCell="A1" sqref="A1"/>
    </sheetView>
  </sheetViews>
  <sheetFormatPr baseColWidth="8" defaultRowHeight="14"/>
  <cols>
    <col width="10" customWidth="1" min="1" max="1"/>
    <col width="14" customWidth="1" min="2" max="2"/>
    <col width="50" customWidth="1" min="3" max="3"/>
    <col width="10" customWidth="1" min="4" max="4"/>
    <col width="50" customWidth="1" min="5" max="5"/>
    <col width="28" customWidth="1" min="6" max="6"/>
    <col width="31" customWidth="1" min="7" max="7"/>
  </cols>
  <sheetData>
    <row r="1" ht="20" customHeight="1">
      <c r="A1" s="1" t="inlineStr">
        <is>
          <t>BẢNG TỔNG HỢP KHỐI LƯỢNG TOÀN CẦU KM19+529.08 (100% CÔNG THỨC SỐNG)</t>
        </is>
      </c>
    </row>
    <row r="2" ht="14.5" customHeight="1">
      <c r="A2" s="2" t="inlineStr">
        <is>
          <t>Dự án: Cầu Km19+529.08 | Tiêu chuẩn: TCVN 11823:2017 &amp; TT 37/2026/TT-BXD | Hệ thống 23HG</t>
        </is>
      </c>
    </row>
    <row r="4" ht="28" customHeight="1">
      <c r="A4" s="3" t="inlineStr">
        <is>
          <t>STT</t>
        </is>
      </c>
      <c r="B4" s="3" t="inlineStr">
        <is>
          <t>Mã hiệu WBS</t>
        </is>
      </c>
      <c r="C4" s="3" t="inlineStr">
        <is>
          <t>Hạng mục kết cấu / Công việc</t>
        </is>
      </c>
      <c r="D4" s="3" t="inlineStr">
        <is>
          <t>Đơn vị</t>
        </is>
      </c>
      <c r="E4" s="3" t="inlineStr">
        <is>
          <t>Khối lượng</t>
        </is>
      </c>
      <c r="F4" s="3" t="inlineStr">
        <is>
          <t>Liên kết Sheet chi tiết</t>
        </is>
      </c>
      <c r="G4" s="3" t="inlineStr">
        <is>
          <t>Ghi chú kỹ thuật</t>
        </is>
      </c>
    </row>
    <row r="5" ht="22" customHeight="1">
      <c r="A5" s="4" t="inlineStr">
        <is>
          <t>I</t>
        </is>
      </c>
      <c r="B5" s="4" t="inlineStr">
        <is>
          <t>WBS-01</t>
        </is>
      </c>
      <c r="C5" s="5" t="inlineStr">
        <is>
          <t>KẾT CẤU PHẦN TRÊN (SUPERSTRUCTURE)</t>
        </is>
      </c>
      <c r="D5" s="4" t="n"/>
      <c r="E5" s="6" t="n"/>
      <c r="F5" s="4" t="n"/>
      <c r="G5" s="5" t="inlineStr">
        <is>
          <t>Nhịp Super T 38.2m</t>
        </is>
      </c>
    </row>
    <row r="6" ht="20" customHeight="1">
      <c r="A6" s="7" t="inlineStr">
        <is>
          <t>1</t>
        </is>
      </c>
      <c r="B6" s="7" t="inlineStr">
        <is>
          <t>WBS-01.01</t>
        </is>
      </c>
      <c r="C6" s="8" t="inlineStr">
        <is>
          <t>Bê tông Dầm chủ Super T 38.2m (C45/55)</t>
        </is>
      </c>
      <c r="D6" s="9" t="inlineStr">
        <is>
          <t>m3</t>
        </is>
      </c>
      <c r="E6" s="10">
        <f>DAM_SUPER_T_38.2M!F11</f>
        <v/>
      </c>
      <c r="F6" s="9" t="inlineStr">
        <is>
          <t>DAM_SUPER_T_38.2M</t>
        </is>
      </c>
      <c r="G6" s="8" t="inlineStr">
        <is>
          <t>15 phiến dầm đúc sẵn</t>
        </is>
      </c>
    </row>
    <row r="7" ht="20" customHeight="1">
      <c r="A7" s="11" t="inlineStr">
        <is>
          <t>2</t>
        </is>
      </c>
      <c r="B7" s="11" t="inlineStr">
        <is>
          <t>WBS-01.02</t>
        </is>
      </c>
      <c r="C7" s="12" t="inlineStr">
        <is>
          <t>Cáp DƯL Dầm 15.2mm (44 tao/dầm)</t>
        </is>
      </c>
      <c r="D7" s="13" t="inlineStr">
        <is>
          <t>Tấn</t>
        </is>
      </c>
      <c r="E7" s="14">
        <f>DAM_SUPER_T_38.2M!F20/1000</f>
        <v/>
      </c>
      <c r="F7" s="13" t="inlineStr">
        <is>
          <t>DAM_SUPER_T_38.2M</t>
        </is>
      </c>
      <c r="G7" s="12" t="inlineStr">
        <is>
          <t>Cáp kéo trước fpu=1860MPa</t>
        </is>
      </c>
    </row>
    <row r="8" ht="20" customHeight="1">
      <c r="A8" s="7" t="inlineStr">
        <is>
          <t>3</t>
        </is>
      </c>
      <c r="B8" s="7" t="inlineStr">
        <is>
          <t>WBS-01.03</t>
        </is>
      </c>
      <c r="C8" s="8" t="inlineStr">
        <is>
          <t>Cốt thép thường Dầm chủ Super T (D&lt;=18mm)</t>
        </is>
      </c>
      <c r="D8" s="9" t="inlineStr">
        <is>
          <t>Tấn</t>
        </is>
      </c>
      <c r="E8" s="10">
        <f>DAM_SUPER_T_38.2M!F28/1000</f>
        <v/>
      </c>
      <c r="F8" s="9" t="inlineStr">
        <is>
          <t>DAM_SUPER_T_38.2M</t>
        </is>
      </c>
      <c r="G8" s="8" t="inlineStr">
        <is>
          <t>Thép đai sườn &amp; bản cánh</t>
        </is>
      </c>
    </row>
    <row r="9" ht="20" customHeight="1">
      <c r="A9" s="11" t="inlineStr">
        <is>
          <t>4</t>
        </is>
      </c>
      <c r="B9" s="11" t="inlineStr">
        <is>
          <t>WBS-01.04</t>
        </is>
      </c>
      <c r="C9" s="12" t="inlineStr">
        <is>
          <t>Cốt thép thường Dầm chủ Super T (D&gt;18mm)</t>
        </is>
      </c>
      <c r="D9" s="13" t="inlineStr">
        <is>
          <t>Tấn</t>
        </is>
      </c>
      <c r="E9" s="14">
        <f>DAM_SUPER_T_38.2M!F29/1000</f>
        <v/>
      </c>
      <c r="F9" s="13" t="inlineStr">
        <is>
          <t>DAM_SUPER_T_38.2M</t>
        </is>
      </c>
      <c r="G9" s="12" t="inlineStr">
        <is>
          <t>Thép chủ tăng cường</t>
        </is>
      </c>
    </row>
    <row r="10" ht="20" customHeight="1">
      <c r="A10" s="7" t="inlineStr">
        <is>
          <t>5</t>
        </is>
      </c>
      <c r="B10" s="7" t="inlineStr">
        <is>
          <t>WBS-01.05</t>
        </is>
      </c>
      <c r="C10" s="8" t="inlineStr">
        <is>
          <t>Ván khuôn dầm Super T</t>
        </is>
      </c>
      <c r="D10" s="9" t="inlineStr">
        <is>
          <t>m2</t>
        </is>
      </c>
      <c r="E10" s="10">
        <f>DAM_SUPER_T_38.2M!F16</f>
        <v/>
      </c>
      <c r="F10" s="9" t="inlineStr">
        <is>
          <t>DAM_SUPER_T_38.2M</t>
        </is>
      </c>
      <c r="G10" s="8" t="inlineStr">
        <is>
          <t>Ván khuôn thép định hình</t>
        </is>
      </c>
    </row>
    <row r="11" ht="20" customHeight="1">
      <c r="A11" s="11" t="inlineStr">
        <is>
          <t>6</t>
        </is>
      </c>
      <c r="B11" s="11" t="inlineStr">
        <is>
          <t>WBS-01.06</t>
        </is>
      </c>
      <c r="C11" s="12" t="inlineStr">
        <is>
          <t>Bê tông dầm ngang đổ tại chỗ (C35/45)</t>
        </is>
      </c>
      <c r="D11" s="13" t="inlineStr">
        <is>
          <t>m3</t>
        </is>
      </c>
      <c r="E11" s="14">
        <f>DAM_NGANG_BAN_MAT_CAU!E6</f>
        <v/>
      </c>
      <c r="F11" s="13" t="inlineStr">
        <is>
          <t>DAM_NGANG_BAN_MAT_CAU</t>
        </is>
      </c>
      <c r="G11" s="12" t="inlineStr">
        <is>
          <t>Đầu dầm &amp; giữa nhịp</t>
        </is>
      </c>
    </row>
    <row r="12" ht="20" customHeight="1">
      <c r="A12" s="7" t="inlineStr">
        <is>
          <t>7</t>
        </is>
      </c>
      <c r="B12" s="7" t="inlineStr">
        <is>
          <t>WBS-01.07</t>
        </is>
      </c>
      <c r="C12" s="8" t="inlineStr">
        <is>
          <t>Cốt thép dầm ngang đổ tại chỗ</t>
        </is>
      </c>
      <c r="D12" s="9" t="inlineStr">
        <is>
          <t>Tấn</t>
        </is>
      </c>
      <c r="E12" s="10">
        <f>DAM_NGANG_BAN_MAT_CAU!E8/1000</f>
        <v/>
      </c>
      <c r="F12" s="9" t="inlineStr">
        <is>
          <t>DAM_NGANG_BAN_MAT_CAU</t>
        </is>
      </c>
      <c r="G12" s="8" t="inlineStr">
        <is>
          <t>Thép A1..A6</t>
        </is>
      </c>
    </row>
    <row r="13" ht="20" customHeight="1">
      <c r="A13" s="11" t="inlineStr">
        <is>
          <t>8</t>
        </is>
      </c>
      <c r="B13" s="11" t="inlineStr">
        <is>
          <t>WBS-01.08</t>
        </is>
      </c>
      <c r="C13" s="12" t="inlineStr">
        <is>
          <t>Bê tông Bản mặt cầu đổ tại chỗ (C35/45, h=200mm)</t>
        </is>
      </c>
      <c r="D13" s="13" t="inlineStr">
        <is>
          <t>m3</t>
        </is>
      </c>
      <c r="E13" s="14">
        <f>DAM_NGANG_BAN_MAT_CAU!E10</f>
        <v/>
      </c>
      <c r="F13" s="13" t="inlineStr">
        <is>
          <t>DAM_NGANG_BAN_MAT_CAU</t>
        </is>
      </c>
      <c r="G13" s="12" t="inlineStr">
        <is>
          <t>Bản mặt cầu chính</t>
        </is>
      </c>
    </row>
    <row r="14" ht="20" customHeight="1">
      <c r="A14" s="7" t="inlineStr">
        <is>
          <t>9</t>
        </is>
      </c>
      <c r="B14" s="7" t="inlineStr">
        <is>
          <t>WBS-01.09</t>
        </is>
      </c>
      <c r="C14" s="8" t="inlineStr">
        <is>
          <t>Bê tông mối nối liên tục nhiệt (C35/45)</t>
        </is>
      </c>
      <c r="D14" s="9" t="inlineStr">
        <is>
          <t>m3</t>
        </is>
      </c>
      <c r="E14" s="10">
        <f>DAM_NGANG_BAN_MAT_CAU!E11</f>
        <v/>
      </c>
      <c r="F14" s="9" t="inlineStr">
        <is>
          <t>DAM_NGANG_BAN_MAT_CAU</t>
        </is>
      </c>
      <c r="G14" s="8" t="inlineStr">
        <is>
          <t>Tại đỉnh trụ T1, T2</t>
        </is>
      </c>
    </row>
    <row r="15" ht="20" customHeight="1">
      <c r="A15" s="11" t="inlineStr">
        <is>
          <t>10</t>
        </is>
      </c>
      <c r="B15" s="11" t="inlineStr">
        <is>
          <t>WBS-01.10</t>
        </is>
      </c>
      <c r="C15" s="12" t="inlineStr">
        <is>
          <t>Cốt thép Bản mặt cầu &amp; Liên tục nhiệt</t>
        </is>
      </c>
      <c r="D15" s="13" t="inlineStr">
        <is>
          <t>Tấn</t>
        </is>
      </c>
      <c r="E15" s="14">
        <f>DAM_NGANG_BAN_MAT_CAU!E12/1000</f>
        <v/>
      </c>
      <c r="F15" s="13" t="inlineStr">
        <is>
          <t>DAM_NGANG_BAN_MAT_CAU</t>
        </is>
      </c>
      <c r="G15" s="12" t="inlineStr">
        <is>
          <t>Lưới thép trên dưới S1..S4</t>
        </is>
      </c>
    </row>
    <row r="16" ht="20" customHeight="1">
      <c r="A16" s="7" t="inlineStr">
        <is>
          <t>11</t>
        </is>
      </c>
      <c r="B16" s="7" t="inlineStr">
        <is>
          <t>WBS-01.11</t>
        </is>
      </c>
      <c r="C16" s="8" t="inlineStr">
        <is>
          <t>Tấm ván khuôn đúc sẵn (Stay-in-place panel)</t>
        </is>
      </c>
      <c r="D16" s="9" t="inlineStr">
        <is>
          <t>tấm</t>
        </is>
      </c>
      <c r="E16" s="10">
        <f>DAM_NGANG_BAN_MAT_CAU!E17</f>
        <v/>
      </c>
      <c r="F16" s="9" t="inlineStr">
        <is>
          <t>DAM_NGANG_BAN_MAT_CAU</t>
        </is>
      </c>
      <c r="G16" s="8" t="inlineStr">
        <is>
          <t>Panel đúc sẵn giữa 2 dầm</t>
        </is>
      </c>
    </row>
    <row r="17" ht="20" customHeight="1">
      <c r="A17" s="11" t="inlineStr">
        <is>
          <t>12</t>
        </is>
      </c>
      <c r="B17" s="11" t="inlineStr">
        <is>
          <t>WBS-01.12</t>
        </is>
      </c>
      <c r="C17" s="12" t="inlineStr">
        <is>
          <t>Bê tông nhựa C16 mặt cầu dày 7cm</t>
        </is>
      </c>
      <c r="D17" s="13" t="inlineStr">
        <is>
          <t>m2</t>
        </is>
      </c>
      <c r="E17" s="14">
        <f>DAM_NGANG_BAN_MAT_CAU!E22</f>
        <v/>
      </c>
      <c r="F17" s="13" t="inlineStr">
        <is>
          <t>DAM_NGANG_BAN_MAT_CAU</t>
        </is>
      </c>
      <c r="G17" s="12" t="inlineStr">
        <is>
          <t>Lớp phủ mặt cầu</t>
        </is>
      </c>
    </row>
    <row r="18" ht="20" customHeight="1">
      <c r="A18" s="7" t="inlineStr">
        <is>
          <t>13</t>
        </is>
      </c>
      <c r="B18" s="7" t="inlineStr">
        <is>
          <t>WBS-01.13</t>
        </is>
      </c>
      <c r="C18" s="8" t="inlineStr">
        <is>
          <t>Lớp phòng nước phun thẩm thấu cao cấp</t>
        </is>
      </c>
      <c r="D18" s="9" t="inlineStr">
        <is>
          <t>m2</t>
        </is>
      </c>
      <c r="E18" s="10">
        <f>DAM_NGANG_BAN_MAT_CAU!E24</f>
        <v/>
      </c>
      <c r="F18" s="9" t="inlineStr">
        <is>
          <t>DAM_NGANG_BAN_MAT_CAU</t>
        </is>
      </c>
      <c r="G18" s="8" t="inlineStr">
        <is>
          <t>Bảo vệ bản bê tông</t>
        </is>
      </c>
    </row>
    <row r="19" ht="20" customHeight="1">
      <c r="A19" s="11" t="inlineStr">
        <is>
          <t>14</t>
        </is>
      </c>
      <c r="B19" s="11" t="inlineStr">
        <is>
          <t>WBS-01.14</t>
        </is>
      </c>
      <c r="C19" s="12" t="inlineStr">
        <is>
          <t>Bê tông Gờ chắn bánh / lan can (C25/30)</t>
        </is>
      </c>
      <c r="D19" s="13" t="inlineStr">
        <is>
          <t>m3</t>
        </is>
      </c>
      <c r="E19" s="14">
        <f>DAM_NGANG_BAN_MAT_CAU!E26</f>
        <v/>
      </c>
      <c r="F19" s="13" t="inlineStr">
        <is>
          <t>DAM_NGANG_BAN_MAT_CAU</t>
        </is>
      </c>
      <c r="G19" s="12" t="inlineStr">
        <is>
          <t>Hai bên cầu</t>
        </is>
      </c>
    </row>
    <row r="20" ht="20" customHeight="1">
      <c r="A20" s="7" t="inlineStr">
        <is>
          <t>15</t>
        </is>
      </c>
      <c r="B20" s="7" t="inlineStr">
        <is>
          <t>WBS-01.15</t>
        </is>
      </c>
      <c r="C20" s="8" t="inlineStr">
        <is>
          <t>Cốt thép Gờ chắn bánh / lan can</t>
        </is>
      </c>
      <c r="D20" s="9" t="inlineStr">
        <is>
          <t>Tấn</t>
        </is>
      </c>
      <c r="E20" s="10">
        <f>DAM_NGANG_BAN_MAT_CAU!E27/1000</f>
        <v/>
      </c>
      <c r="F20" s="9" t="inlineStr">
        <is>
          <t>DAM_NGANG_BAN_MAT_CAU</t>
        </is>
      </c>
      <c r="G20" s="8" t="inlineStr">
        <is>
          <t>Thép neo gờ lan can</t>
        </is>
      </c>
    </row>
    <row r="21" ht="22" customHeight="1">
      <c r="A21" s="4" t="inlineStr">
        <is>
          <t>II</t>
        </is>
      </c>
      <c r="B21" s="4" t="inlineStr">
        <is>
          <t>WBS-02</t>
        </is>
      </c>
      <c r="C21" s="5" t="inlineStr">
        <is>
          <t>KẾT CẤU PHẦN DƯỚI (SUBSTRUCTURE)</t>
        </is>
      </c>
      <c r="D21" s="4" t="n"/>
      <c r="E21" s="6" t="n"/>
      <c r="F21" s="4" t="n"/>
      <c r="G21" s="5" t="inlineStr">
        <is>
          <t>Mố M1, M2 &amp; Trụ T1, T2</t>
        </is>
      </c>
    </row>
    <row r="22" ht="20" customHeight="1">
      <c r="A22" s="7" t="inlineStr">
        <is>
          <t>16</t>
        </is>
      </c>
      <c r="B22" s="7" t="inlineStr">
        <is>
          <t>WBS-02.01</t>
        </is>
      </c>
      <c r="C22" s="8" t="inlineStr">
        <is>
          <t>Bê tông Bệ mố M1, M2 (C30/38)</t>
        </is>
      </c>
      <c r="D22" s="9" t="inlineStr">
        <is>
          <t>m3</t>
        </is>
      </c>
      <c r="E22" s="10">
        <f>MO_M1_M2!E8</f>
        <v/>
      </c>
      <c r="F22" s="9" t="inlineStr">
        <is>
          <t>MO_M1_M2</t>
        </is>
      </c>
      <c r="G22" s="8" t="inlineStr">
        <is>
          <t>M1 thân thấp + Bệ M2 (12.515x6x2m)</t>
        </is>
      </c>
    </row>
    <row r="23" ht="20" customHeight="1">
      <c r="A23" s="11" t="inlineStr">
        <is>
          <t>17</t>
        </is>
      </c>
      <c r="B23" s="11" t="inlineStr">
        <is>
          <t>WBS-02.02</t>
        </is>
      </c>
      <c r="C23" s="12" t="inlineStr">
        <is>
          <t>Bê tông Tường thân mố M1, M2 (C30/38)</t>
        </is>
      </c>
      <c r="D23" s="13" t="inlineStr">
        <is>
          <t>m3</t>
        </is>
      </c>
      <c r="E23" s="14">
        <f>MO_M1_M2!E11</f>
        <v/>
      </c>
      <c r="F23" s="13" t="inlineStr">
        <is>
          <t>MO_M1_M2</t>
        </is>
      </c>
      <c r="G23" s="12" t="inlineStr">
        <is>
          <t>Thân mố M1 + M2</t>
        </is>
      </c>
    </row>
    <row r="24" ht="20" customHeight="1">
      <c r="A24" s="7" t="inlineStr">
        <is>
          <t>18</t>
        </is>
      </c>
      <c r="B24" s="7" t="inlineStr">
        <is>
          <t>WBS-02.03</t>
        </is>
      </c>
      <c r="C24" s="8" t="inlineStr">
        <is>
          <t>Bê tông Tường đỉnh / tường ngực mố (C30/38)</t>
        </is>
      </c>
      <c r="D24" s="9" t="inlineStr">
        <is>
          <t>m3</t>
        </is>
      </c>
      <c r="E24" s="10">
        <f>MO_M1_M2!E14</f>
        <v/>
      </c>
      <c r="F24" s="9" t="inlineStr">
        <is>
          <t>MO_M1_M2</t>
        </is>
      </c>
      <c r="G24" s="8" t="inlineStr">
        <is>
          <t>Đỉnh mố</t>
        </is>
      </c>
    </row>
    <row r="25" ht="20" customHeight="1">
      <c r="A25" s="11" t="inlineStr">
        <is>
          <t>19</t>
        </is>
      </c>
      <c r="B25" s="11" t="inlineStr">
        <is>
          <t>WBS-02.04</t>
        </is>
      </c>
      <c r="C25" s="12" t="inlineStr">
        <is>
          <t>Bê tông Tường cánh chữ U mố (C30/38)</t>
        </is>
      </c>
      <c r="D25" s="13" t="inlineStr">
        <is>
          <t>m3</t>
        </is>
      </c>
      <c r="E25" s="14">
        <f>MO_M1_M2!E17</f>
        <v/>
      </c>
      <c r="F25" s="13" t="inlineStr">
        <is>
          <t>MO_M1_M2</t>
        </is>
      </c>
      <c r="G25" s="12" t="inlineStr">
        <is>
          <t>Tường cánh trái + phải</t>
        </is>
      </c>
    </row>
    <row r="26" ht="20" customHeight="1">
      <c r="A26" s="7" t="inlineStr">
        <is>
          <t>20</t>
        </is>
      </c>
      <c r="B26" s="7" t="inlineStr">
        <is>
          <t>WBS-02.05</t>
        </is>
      </c>
      <c r="C26" s="8" t="inlineStr">
        <is>
          <t>Bê tông đệm mố C10/12</t>
        </is>
      </c>
      <c r="D26" s="9" t="inlineStr">
        <is>
          <t>m3</t>
        </is>
      </c>
      <c r="E26" s="10">
        <f>MO_M1_M2!E22</f>
        <v/>
      </c>
      <c r="F26" s="9" t="inlineStr">
        <is>
          <t>MO_M1_M2</t>
        </is>
      </c>
      <c r="G26" s="8" t="inlineStr">
        <is>
          <t>Lót móng dày 100mm</t>
        </is>
      </c>
    </row>
    <row r="27" ht="20" customHeight="1">
      <c r="A27" s="11" t="inlineStr">
        <is>
          <t>21</t>
        </is>
      </c>
      <c r="B27" s="11" t="inlineStr">
        <is>
          <t>WBS-02.06</t>
        </is>
      </c>
      <c r="C27" s="12" t="inlineStr">
        <is>
          <t>Cốt thép Mố M1, M2 (F1..F8, A1..A8, P1..P4, W1..W3)</t>
        </is>
      </c>
      <c r="D27" s="13" t="inlineStr">
        <is>
          <t>Tấn</t>
        </is>
      </c>
      <c r="E27" s="14">
        <f>MO_M1_M2!E28/1000</f>
        <v/>
      </c>
      <c r="F27" s="13" t="inlineStr">
        <is>
          <t>MO_M1_M2</t>
        </is>
      </c>
      <c r="G27" s="12" t="inlineStr">
        <is>
          <t>Tổng thép mố</t>
        </is>
      </c>
    </row>
    <row r="28" ht="20" customHeight="1">
      <c r="A28" s="7" t="inlineStr">
        <is>
          <t>22</t>
        </is>
      </c>
      <c r="B28" s="7" t="inlineStr">
        <is>
          <t>WBS-02.07</t>
        </is>
      </c>
      <c r="C28" s="8" t="inlineStr">
        <is>
          <t>Ván khuôn mố M1, M2</t>
        </is>
      </c>
      <c r="D28" s="9" t="inlineStr">
        <is>
          <t>m2</t>
        </is>
      </c>
      <c r="E28" s="10">
        <f>MO_M1_M2!E23</f>
        <v/>
      </c>
      <c r="F28" s="9" t="inlineStr">
        <is>
          <t>MO_M1_M2</t>
        </is>
      </c>
      <c r="G28" s="8" t="inlineStr">
        <is>
          <t>Ván khuôn bệ, thân, cánh</t>
        </is>
      </c>
    </row>
    <row r="29" ht="20" customHeight="1">
      <c r="A29" s="11" t="inlineStr">
        <is>
          <t>23</t>
        </is>
      </c>
      <c r="B29" s="11" t="inlineStr">
        <is>
          <t>WBS-02.08</t>
        </is>
      </c>
      <c r="C29" s="12" t="inlineStr">
        <is>
          <t>Bê tông Bệ trụ T1, T2 (C30/38)</t>
        </is>
      </c>
      <c r="D29" s="13" t="inlineStr">
        <is>
          <t>m3</t>
        </is>
      </c>
      <c r="E29" s="14">
        <f>TRU_T1_T2!H8</f>
        <v/>
      </c>
      <c r="F29" s="13" t="inlineStr">
        <is>
          <t>TRU_T1_T2</t>
        </is>
      </c>
      <c r="G29" s="12" t="inlineStr">
        <is>
          <t>2 bệ trụ (11.60x8.00x2.00m)</t>
        </is>
      </c>
    </row>
    <row r="30" ht="20" customHeight="1">
      <c r="A30" s="7" t="inlineStr">
        <is>
          <t>24</t>
        </is>
      </c>
      <c r="B30" s="7" t="inlineStr">
        <is>
          <t>WBS-02.09</t>
        </is>
      </c>
      <c r="C30" s="8" t="inlineStr">
        <is>
          <t>Bê tông Thân trụ T1, T2 (Thân đặc 3 đốt vát bậc)</t>
        </is>
      </c>
      <c r="D30" s="9" t="inlineStr">
        <is>
          <t>m3</t>
        </is>
      </c>
      <c r="E30" s="10">
        <f>TRU_T1_T2!H11</f>
        <v/>
      </c>
      <c r="F30" s="9" t="inlineStr">
        <is>
          <t>TRU_T1_T2</t>
        </is>
      </c>
      <c r="G30" s="8" t="inlineStr">
        <is>
          <t>Thân đặc đầu tròn B1=3.5m</t>
        </is>
      </c>
    </row>
    <row r="31" ht="20" customHeight="1">
      <c r="A31" s="11" t="inlineStr">
        <is>
          <t>25</t>
        </is>
      </c>
      <c r="B31" s="11" t="inlineStr">
        <is>
          <t>WBS-02.10</t>
        </is>
      </c>
      <c r="C31" s="12" t="inlineStr">
        <is>
          <t>Bê tông Xà mũ trụ T1, T2 (C30/38)</t>
        </is>
      </c>
      <c r="D31" s="13" t="inlineStr">
        <is>
          <t>m3</t>
        </is>
      </c>
      <c r="E31" s="14">
        <f>TRU_T1_T2!H14</f>
        <v/>
      </c>
      <c r="F31" s="13" t="inlineStr">
        <is>
          <t>TRU_T1_T2</t>
        </is>
      </c>
      <c r="G31" s="12" t="inlineStr">
        <is>
          <t>Xà mũ consol 11.6m</t>
        </is>
      </c>
    </row>
    <row r="32" ht="20" customHeight="1">
      <c r="A32" s="7" t="inlineStr">
        <is>
          <t>26</t>
        </is>
      </c>
      <c r="B32" s="7" t="inlineStr">
        <is>
          <t>WBS-02.11</t>
        </is>
      </c>
      <c r="C32" s="8" t="inlineStr">
        <is>
          <t>Bê tông đệm trụ C10/12</t>
        </is>
      </c>
      <c r="D32" s="9" t="inlineStr">
        <is>
          <t>m3</t>
        </is>
      </c>
      <c r="E32" s="10">
        <f>TRU_T1_T2!H18</f>
        <v/>
      </c>
      <c r="F32" s="9" t="inlineStr">
        <is>
          <t>TRU_T1_T2</t>
        </is>
      </c>
      <c r="G32" s="8" t="inlineStr">
        <is>
          <t>Lót móng dày 100mm</t>
        </is>
      </c>
    </row>
    <row r="33" ht="20" customHeight="1">
      <c r="A33" s="11" t="inlineStr">
        <is>
          <t>27</t>
        </is>
      </c>
      <c r="B33" s="11" t="inlineStr">
        <is>
          <t>WBS-02.12</t>
        </is>
      </c>
      <c r="C33" s="12" t="inlineStr">
        <is>
          <t>Cốt thép Trụ T1, T2 (B1..B8, T1..T4, XM1..XM10)</t>
        </is>
      </c>
      <c r="D33" s="13" t="inlineStr">
        <is>
          <t>Tấn</t>
        </is>
      </c>
      <c r="E33" s="14">
        <f>TRU_T1_T2!H26/1000</f>
        <v/>
      </c>
      <c r="F33" s="13" t="inlineStr">
        <is>
          <t>TRU_T1_T2</t>
        </is>
      </c>
      <c r="G33" s="12" t="inlineStr">
        <is>
          <t>Tổng thép trụ</t>
        </is>
      </c>
    </row>
    <row r="34" ht="20" customHeight="1">
      <c r="A34" s="7" t="inlineStr">
        <is>
          <t>28</t>
        </is>
      </c>
      <c r="B34" s="7" t="inlineStr">
        <is>
          <t>WBS-02.13</t>
        </is>
      </c>
      <c r="C34" s="8" t="inlineStr">
        <is>
          <t>Ván khuôn trụ T1, T2</t>
        </is>
      </c>
      <c r="D34" s="9" t="inlineStr">
        <is>
          <t>m2</t>
        </is>
      </c>
      <c r="E34" s="10">
        <f>TRU_T1_T2!H19+TRU_T1_T2!H20+TRU_T1_T2!H21</f>
        <v/>
      </c>
      <c r="F34" s="9" t="inlineStr">
        <is>
          <t>TRU_T1_T2</t>
        </is>
      </c>
      <c r="G34" s="8" t="inlineStr">
        <is>
          <t>Ván khuôn bệ, thân &amp; xà mũ</t>
        </is>
      </c>
    </row>
    <row r="35" ht="22" customHeight="1">
      <c r="A35" s="4" t="inlineStr">
        <is>
          <t>III</t>
        </is>
      </c>
      <c r="B35" s="4" t="inlineStr">
        <is>
          <t>WBS-03</t>
        </is>
      </c>
      <c r="C35" s="5" t="inlineStr">
        <is>
          <t>MÓNG CỌC KHOAN NHỒI D1200</t>
        </is>
      </c>
      <c r="D35" s="4" t="n"/>
      <c r="E35" s="6" t="n"/>
      <c r="F35" s="4" t="n"/>
      <c r="G35" s="5" t="inlineStr">
        <is>
          <t>26 cọc đại trà</t>
        </is>
      </c>
    </row>
    <row r="36" ht="20" customHeight="1">
      <c r="A36" s="7" t="inlineStr">
        <is>
          <t>29</t>
        </is>
      </c>
      <c r="B36" s="7" t="inlineStr">
        <is>
          <t>WBS-03.01</t>
        </is>
      </c>
      <c r="C36" s="8" t="inlineStr">
        <is>
          <t>Khoan tạo lỗ cọc khoan nhồi D1200mm</t>
        </is>
      </c>
      <c r="D36" s="9" t="inlineStr">
        <is>
          <t>m</t>
        </is>
      </c>
      <c r="E36" s="10">
        <f>COC_KHOAN_NHOI_D1200!G9</f>
        <v/>
      </c>
      <c r="F36" s="9" t="inlineStr">
        <is>
          <t>COC_KHOAN_NHOI_D1200</t>
        </is>
      </c>
      <c r="G36" s="8" t="inlineStr">
        <is>
          <t>Tổng chiều dài 26 cọc</t>
        </is>
      </c>
    </row>
    <row r="37" ht="20" customHeight="1">
      <c r="A37" s="11" t="inlineStr">
        <is>
          <t>30</t>
        </is>
      </c>
      <c r="B37" s="11" t="inlineStr">
        <is>
          <t>WBS-03.02</t>
        </is>
      </c>
      <c r="C37" s="12" t="inlineStr">
        <is>
          <t>Bê tông Cọc khoan nhồi D1200 (C30/38)</t>
        </is>
      </c>
      <c r="D37" s="13" t="inlineStr">
        <is>
          <t>m3</t>
        </is>
      </c>
      <c r="E37" s="14">
        <f>COC_KHOAN_NHOI_D1200!D14</f>
        <v/>
      </c>
      <c r="F37" s="13" t="inlineStr">
        <is>
          <t>COC_KHOAN_NHOI_D1200</t>
        </is>
      </c>
      <c r="G37" s="12" t="inlineStr">
        <is>
          <t>Bê tông đúc cọc trong đất</t>
        </is>
      </c>
    </row>
    <row r="38" ht="20" customHeight="1">
      <c r="A38" s="7" t="inlineStr">
        <is>
          <t>31</t>
        </is>
      </c>
      <c r="B38" s="7" t="inlineStr">
        <is>
          <t>WBS-03.03</t>
        </is>
      </c>
      <c r="C38" s="8" t="inlineStr">
        <is>
          <t>Bê tông đập đầu cọc (1.0m/cọc)</t>
        </is>
      </c>
      <c r="D38" s="9" t="inlineStr">
        <is>
          <t>m3</t>
        </is>
      </c>
      <c r="E38" s="10">
        <f>COC_KHOAN_NHOI_D1200!D15</f>
        <v/>
      </c>
      <c r="F38" s="9" t="inlineStr">
        <is>
          <t>COC_KHOAN_NHOI_D1200</t>
        </is>
      </c>
      <c r="G38" s="8" t="inlineStr">
        <is>
          <t>Đập bê tông nhiễm bùn</t>
        </is>
      </c>
    </row>
    <row r="39" ht="20" customHeight="1">
      <c r="A39" s="11" t="inlineStr">
        <is>
          <t>32</t>
        </is>
      </c>
      <c r="B39" s="11" t="inlineStr">
        <is>
          <t>WBS-03.04</t>
        </is>
      </c>
      <c r="C39" s="12" t="inlineStr">
        <is>
          <t>Cốt thép lồng cọc khoan nhồi (D&gt;18mm)</t>
        </is>
      </c>
      <c r="D39" s="13" t="inlineStr">
        <is>
          <t>Tấn</t>
        </is>
      </c>
      <c r="E39" s="14">
        <f>COC_KHOAN_NHOI_D1200!D17/1000</f>
        <v/>
      </c>
      <c r="F39" s="13" t="inlineStr">
        <is>
          <t>COC_KHOAN_NHOI_D1200</t>
        </is>
      </c>
      <c r="G39" s="12" t="inlineStr">
        <is>
          <t>Thép chủ D25</t>
        </is>
      </c>
    </row>
    <row r="40" ht="20" customHeight="1">
      <c r="A40" s="7" t="inlineStr">
        <is>
          <t>33</t>
        </is>
      </c>
      <c r="B40" s="7" t="inlineStr">
        <is>
          <t>WBS-03.05</t>
        </is>
      </c>
      <c r="C40" s="8" t="inlineStr">
        <is>
          <t>Cốt thép lồng cọc khoan nhồi (D&lt;=18mm)</t>
        </is>
      </c>
      <c r="D40" s="9" t="inlineStr">
        <is>
          <t>Tấn</t>
        </is>
      </c>
      <c r="E40" s="10">
        <f>(COC_KHOAN_NHOI_D1200!D18+COC_KHOAN_NHOI_D1200!D19)/1000</f>
        <v/>
      </c>
      <c r="F40" s="9" t="inlineStr">
        <is>
          <t>COC_KHOAN_NHOI_D1200</t>
        </is>
      </c>
      <c r="G40" s="8" t="inlineStr">
        <is>
          <t>Thép đai D10 xoắn &amp; D16</t>
        </is>
      </c>
    </row>
    <row r="41" ht="20" customHeight="1">
      <c r="A41" s="11" t="inlineStr">
        <is>
          <t>34</t>
        </is>
      </c>
      <c r="B41" s="11" t="inlineStr">
        <is>
          <t>WBS-03.06</t>
        </is>
      </c>
      <c r="C41" s="12" t="inlineStr">
        <is>
          <t>Ống siêu âm kiểm tra chất lượng cọc</t>
        </is>
      </c>
      <c r="D41" s="13" t="inlineStr">
        <is>
          <t>m</t>
        </is>
      </c>
      <c r="E41" s="14">
        <f>COC_KHOAN_NHOI_D1200!D20+COC_KHOAN_NHOI_D1200!D21</f>
        <v/>
      </c>
      <c r="F41" s="13" t="inlineStr">
        <is>
          <t>COC_KHOAN_NHOI_D1200</t>
        </is>
      </c>
      <c r="G41" s="12" t="inlineStr">
        <is>
          <t>Ống thép D53.9 + D106.5</t>
        </is>
      </c>
    </row>
    <row r="42" ht="22" customHeight="1">
      <c r="A42" s="4" t="inlineStr">
        <is>
          <t>IV</t>
        </is>
      </c>
      <c r="B42" s="4" t="inlineStr">
        <is>
          <t>WBS-04</t>
        </is>
      </c>
      <c r="C42" s="5" t="inlineStr">
        <is>
          <t>KẾT CẤU PHỤ TRỢ, ĐƯỜNG ĐẦU CẦU &amp; AN TOÀN</t>
        </is>
      </c>
      <c r="D42" s="4" t="n"/>
      <c r="E42" s="6" t="n"/>
      <c r="F42" s="4" t="n"/>
      <c r="G42" s="5" t="inlineStr">
        <is>
          <t>Gối, khe, bản quá độ, nón</t>
        </is>
      </c>
    </row>
    <row r="43" ht="20" customHeight="1">
      <c r="A43" s="11" t="inlineStr">
        <is>
          <t>35</t>
        </is>
      </c>
      <c r="B43" s="11" t="inlineStr">
        <is>
          <t>WBS-04.01</t>
        </is>
      </c>
      <c r="C43" s="12" t="inlineStr">
        <is>
          <t>Bản quá độ mố M1, M2 (Bê tông C25, L=5.0m)</t>
        </is>
      </c>
      <c r="D43" s="13" t="inlineStr">
        <is>
          <t>m3</t>
        </is>
      </c>
      <c r="E43" s="14">
        <f>PHU_TRO_TU_NON_BAN_QUA_DO!E6</f>
        <v/>
      </c>
      <c r="F43" s="13" t="inlineStr">
        <is>
          <t>PHU_TRO_TU_NON_BAN_QUA_DO</t>
        </is>
      </c>
      <c r="G43" s="12" t="inlineStr">
        <is>
          <t>2 bản quá độ 12.5x5m</t>
        </is>
      </c>
    </row>
    <row r="44" ht="20" customHeight="1">
      <c r="A44" s="7" t="inlineStr">
        <is>
          <t>36</t>
        </is>
      </c>
      <c r="B44" s="7" t="inlineStr">
        <is>
          <t>WBS-04.02</t>
        </is>
      </c>
      <c r="C44" s="8" t="inlineStr">
        <is>
          <t>Cốt thép bản quá độ mố M1, M2</t>
        </is>
      </c>
      <c r="D44" s="9" t="inlineStr">
        <is>
          <t>Tấn</t>
        </is>
      </c>
      <c r="E44" s="10">
        <f>PHU_TRO_TU_NON_BAN_QUA_DO!E8/1000</f>
        <v/>
      </c>
      <c r="F44" s="9" t="inlineStr">
        <is>
          <t>PHU_TRO_TU_NON_BAN_QUA_DO</t>
        </is>
      </c>
      <c r="G44" s="8" t="inlineStr">
        <is>
          <t>Thép D14..D22</t>
        </is>
      </c>
    </row>
    <row r="45" ht="20" customHeight="1">
      <c r="A45" s="11" t="inlineStr">
        <is>
          <t>37</t>
        </is>
      </c>
      <c r="B45" s="11" t="inlineStr">
        <is>
          <t>WBS-04.03</t>
        </is>
      </c>
      <c r="C45" s="12" t="inlineStr">
        <is>
          <t>Gối chậu (Pot Bearing đơn hướng + song hướng)</t>
        </is>
      </c>
      <c r="D45" s="13" t="inlineStr">
        <is>
          <t>Cái</t>
        </is>
      </c>
      <c r="E45" s="14">
        <f>PHU_TRO_TU_NON_BAN_QUA_DO!E12+PHU_TRO_TU_NON_BAN_QUA_DO!E13</f>
        <v/>
      </c>
      <c r="F45" s="13" t="inlineStr">
        <is>
          <t>PHU_TRO_TU_NON_BAN_QUA_DO</t>
        </is>
      </c>
      <c r="G45" s="12" t="inlineStr">
        <is>
          <t>15 đơn hướng + 15 song hướng</t>
        </is>
      </c>
    </row>
    <row r="46" ht="20" customHeight="1">
      <c r="A46" s="7" t="inlineStr">
        <is>
          <t>38</t>
        </is>
      </c>
      <c r="B46" s="7" t="inlineStr">
        <is>
          <t>WBS-04.04</t>
        </is>
      </c>
      <c r="C46" s="8" t="inlineStr">
        <is>
          <t>Khe co giãn ray răng lược D=100mm</t>
        </is>
      </c>
      <c r="D46" s="9" t="inlineStr">
        <is>
          <t>m</t>
        </is>
      </c>
      <c r="E46" s="10">
        <f>PHU_TRO_TU_NON_BAN_QUA_DO!E17</f>
        <v/>
      </c>
      <c r="F46" s="9" t="inlineStr">
        <is>
          <t>PHU_TRO_TU_NON_BAN_QUA_DO</t>
        </is>
      </c>
      <c r="G46" s="8" t="inlineStr">
        <is>
          <t>2 khe tại 2 mố</t>
        </is>
      </c>
    </row>
    <row r="47" ht="20" customHeight="1">
      <c r="A47" s="11" t="inlineStr">
        <is>
          <t>39</t>
        </is>
      </c>
      <c r="B47" s="11" t="inlineStr">
        <is>
          <t>WBS-04.05</t>
        </is>
      </c>
      <c r="C47" s="12" t="inlineStr">
        <is>
          <t>Hố thu gang thoát nước mặt cầu</t>
        </is>
      </c>
      <c r="D47" s="13" t="inlineStr">
        <is>
          <t>bộ</t>
        </is>
      </c>
      <c r="E47" s="14">
        <f>PHU_TRO_TU_NON_BAN_QUA_DO!E22</f>
        <v/>
      </c>
      <c r="F47" s="13" t="inlineStr">
        <is>
          <t>PHU_TRO_TU_NON_BAN_QUA_DO</t>
        </is>
      </c>
      <c r="G47" s="12" t="inlineStr">
        <is>
          <t>24 bộ cửa thu kèm lưới lọc</t>
        </is>
      </c>
    </row>
    <row r="48" ht="20" customHeight="1">
      <c r="A48" s="7" t="inlineStr">
        <is>
          <t>40</t>
        </is>
      </c>
      <c r="B48" s="7" t="inlineStr">
        <is>
          <t>WBS-04.06</t>
        </is>
      </c>
      <c r="C48" s="8" t="inlineStr">
        <is>
          <t>Ống thoát nước uPVC D150 + xoắn ốc dọc cầu</t>
        </is>
      </c>
      <c r="D48" s="9" t="inlineStr">
        <is>
          <t>m</t>
        </is>
      </c>
      <c r="E48" s="10">
        <f>PHU_TRO_TU_NON_BAN_QUA_DO!E23+PHU_TRO_TU_NON_BAN_QUA_DO!E24</f>
        <v/>
      </c>
      <c r="F48" s="9" t="inlineStr">
        <is>
          <t>PHU_TRO_TU_NON_BAN_QUA_DO</t>
        </is>
      </c>
      <c r="G48" s="8" t="inlineStr">
        <is>
          <t>Hệ thu gom thoát nước</t>
        </is>
      </c>
    </row>
    <row r="49" ht="20" customHeight="1">
      <c r="A49" s="11" t="inlineStr">
        <is>
          <t>41</t>
        </is>
      </c>
      <c r="B49" s="11" t="inlineStr">
        <is>
          <t>WBS-04.07</t>
        </is>
      </c>
      <c r="C49" s="12" t="inlineStr">
        <is>
          <t>Đá hộc xây VXM M100 lát mái tứ nón</t>
        </is>
      </c>
      <c r="D49" s="13" t="inlineStr">
        <is>
          <t>m3</t>
        </is>
      </c>
      <c r="E49" s="14">
        <f>PHU_TRO_TU_NON_BAN_QUA_DO!E27</f>
        <v/>
      </c>
      <c r="F49" s="13" t="inlineStr">
        <is>
          <t>PHU_TRO_TU_NON_BAN_QUA_DO</t>
        </is>
      </c>
      <c r="G49" s="12" t="inlineStr">
        <is>
          <t>Bảo vệ mố chống sạt</t>
        </is>
      </c>
    </row>
    <row r="50" ht="20" customHeight="1">
      <c r="A50" s="7" t="inlineStr">
        <is>
          <t>42</t>
        </is>
      </c>
      <c r="B50" s="7" t="inlineStr">
        <is>
          <t>WBS-04.08</t>
        </is>
      </c>
      <c r="C50" s="8" t="inlineStr">
        <is>
          <t>Đá dăm lọc ngược dày 10cm dưới mái nón</t>
        </is>
      </c>
      <c r="D50" s="9" t="inlineStr">
        <is>
          <t>m3</t>
        </is>
      </c>
      <c r="E50" s="10">
        <f>PHU_TRO_TU_NON_BAN_QUA_DO!E28</f>
        <v/>
      </c>
      <c r="F50" s="9" t="inlineStr">
        <is>
          <t>PHU_TRO_TU_NON_BAN_QUA_DO</t>
        </is>
      </c>
      <c r="G50" s="8" t="inlineStr">
        <is>
          <t>Lớp thoát nước mái dốc</t>
        </is>
      </c>
    </row>
    <row r="51" ht="20" customHeight="1">
      <c r="A51" s="11" t="inlineStr">
        <is>
          <t>43</t>
        </is>
      </c>
      <c r="B51" s="11" t="inlineStr">
        <is>
          <t>WBS-04.09</t>
        </is>
      </c>
      <c r="C51" s="12" t="inlineStr">
        <is>
          <t>Tường chắn bê tông trọng lực đầu cầu (C15)</t>
        </is>
      </c>
      <c r="D51" s="13" t="inlineStr">
        <is>
          <t>m3</t>
        </is>
      </c>
      <c r="E51" s="14">
        <f>PHU_TRO_TU_NON_BAN_QUA_DO!E30</f>
        <v/>
      </c>
      <c r="F51" s="13" t="inlineStr">
        <is>
          <t>PHU_TRO_TU_NON_BAN_QUA_DO</t>
        </is>
      </c>
      <c r="G51" s="12" t="inlineStr">
        <is>
          <t>Giữ mái đắp taluy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"/>
  <cols>
    <col width="10" customWidth="1" min="1" max="1"/>
    <col width="46" customWidth="1" min="2" max="2"/>
    <col width="10" customWidth="1" min="3" max="3"/>
    <col width="42" customWidth="1" min="4" max="4"/>
    <col width="22" customWidth="1" min="5" max="5"/>
    <col width="23" customWidth="1" min="6" max="6"/>
    <col width="28" customWidth="1" min="7" max="7"/>
  </cols>
  <sheetData>
    <row r="1" ht="20" customHeight="1">
      <c r="A1" s="1" t="inlineStr">
        <is>
          <t>BÓC TÁCH CHI TIẾT HÌNH HỌC DẦM CHỦ SUPER T L=38.2M (15 PHIẾN)</t>
        </is>
      </c>
    </row>
    <row r="2" ht="14.5" customHeight="1">
      <c r="A2" s="2" t="inlineStr">
        <is>
          <t>Cắt phân đoạn: Đoạn đặc đầu dầm (1.35m x 2) + Đoạn chuyển tiếp sườn (7.6m x 2) + Đoạn giữa nhịp (20.3m)</t>
        </is>
      </c>
    </row>
    <row r="4" ht="28" customHeight="1">
      <c r="A4" s="3" t="inlineStr">
        <is>
          <t>STT</t>
        </is>
      </c>
      <c r="B4" s="3" t="inlineStr">
        <is>
          <t>Hạng mục / Cấu kiện chi tiết</t>
        </is>
      </c>
      <c r="C4" s="3" t="inlineStr">
        <is>
          <t>Đơn vị</t>
        </is>
      </c>
      <c r="D4" s="3" t="inlineStr">
        <is>
          <t>Kích thước hình học diễn giải</t>
        </is>
      </c>
      <c r="E4" s="3" t="inlineStr">
        <is>
          <t>Diễn giải toán học</t>
        </is>
      </c>
      <c r="F4" s="3" t="inlineStr">
        <is>
          <t>Khối lượng</t>
        </is>
      </c>
      <c r="G4" s="3" t="inlineStr">
        <is>
          <t>Ghi chú kỹ thuật</t>
        </is>
      </c>
    </row>
    <row r="5" ht="22" customHeight="1">
      <c r="A5" s="4" t="inlineStr">
        <is>
          <t>I</t>
        </is>
      </c>
      <c r="B5" s="5" t="inlineStr">
        <is>
          <t>BÊ TÔNG DẦM SUPER T (C45/55)</t>
        </is>
      </c>
      <c r="C5" s="4" t="n"/>
      <c r="D5" s="5" t="n"/>
      <c r="E5" s="5" t="n"/>
      <c r="F5" s="6" t="n"/>
      <c r="G5" s="5" t="n"/>
    </row>
    <row r="6" ht="20" customHeight="1">
      <c r="A6" s="7" t="inlineStr">
        <is>
          <t>1</t>
        </is>
      </c>
      <c r="B6" s="15" t="inlineStr">
        <is>
          <t>Dầm biên T1 (Nhịp 39.1m)</t>
        </is>
      </c>
      <c r="C6" s="9" t="inlineStr">
        <is>
          <t>m3</t>
        </is>
      </c>
      <c r="D6" s="8" t="inlineStr">
        <is>
          <t>2 dầm x 29.254 m3/dầm</t>
        </is>
      </c>
      <c r="E6" s="8" t="inlineStr">
        <is>
          <t>2 * 29.25389</t>
        </is>
      </c>
      <c r="F6" s="16">
        <f>2*29.25389</f>
        <v/>
      </c>
      <c r="G6" s="8" t="inlineStr">
        <is>
          <t>Cánh ngoài có gờ chắn</t>
        </is>
      </c>
    </row>
    <row r="7" ht="20" customHeight="1">
      <c r="A7" s="11" t="inlineStr">
        <is>
          <t>2</t>
        </is>
      </c>
      <c r="B7" s="17" t="inlineStr">
        <is>
          <t>Dầm biên T2 (Nhịp 40.0m)</t>
        </is>
      </c>
      <c r="C7" s="13" t="inlineStr">
        <is>
          <t>m3</t>
        </is>
      </c>
      <c r="D7" s="12" t="inlineStr">
        <is>
          <t>3 dầm x 29.182 m3/dầm</t>
        </is>
      </c>
      <c r="E7" s="12" t="inlineStr">
        <is>
          <t>3 * 29.18227</t>
        </is>
      </c>
      <c r="F7" s="18">
        <f>3*29.18227</f>
        <v/>
      </c>
      <c r="G7" s="12" t="inlineStr">
        <is>
          <t>Cánh ngoài có gờ chắn</t>
        </is>
      </c>
    </row>
    <row r="8" ht="20" customHeight="1">
      <c r="A8" s="7" t="inlineStr">
        <is>
          <t>3</t>
        </is>
      </c>
      <c r="B8" s="15" t="inlineStr">
        <is>
          <t>Dầm giữa T3 (Nhịp 39.1m)</t>
        </is>
      </c>
      <c r="C8" s="9" t="inlineStr">
        <is>
          <t>m3</t>
        </is>
      </c>
      <c r="D8" s="8" t="inlineStr">
        <is>
          <t>1 dầm x 28.996 m3/dầm</t>
        </is>
      </c>
      <c r="E8" s="8" t="inlineStr">
        <is>
          <t>1 * 28.99604</t>
        </is>
      </c>
      <c r="F8" s="16">
        <f>1*28.99604</f>
        <v/>
      </c>
      <c r="G8" s="8" t="inlineStr">
        <is>
          <t>Cánh đối xứng</t>
        </is>
      </c>
    </row>
    <row r="9" ht="20" customHeight="1">
      <c r="A9" s="11" t="inlineStr">
        <is>
          <t>4</t>
        </is>
      </c>
      <c r="B9" s="17" t="inlineStr">
        <is>
          <t>Dầm giữa T4 (Nhịp 40.0m)</t>
        </is>
      </c>
      <c r="C9" s="13" t="inlineStr">
        <is>
          <t>m3</t>
        </is>
      </c>
      <c r="D9" s="12" t="inlineStr">
        <is>
          <t>9 dầm x 28.833 m3/dầm</t>
        </is>
      </c>
      <c r="E9" s="12" t="inlineStr">
        <is>
          <t>9 * 28.83277</t>
        </is>
      </c>
      <c r="F9" s="18">
        <f>9*28.83277</f>
        <v/>
      </c>
      <c r="G9" s="12" t="inlineStr">
        <is>
          <t>Cánh đối xứng</t>
        </is>
      </c>
    </row>
    <row r="10" ht="20" customHeight="1">
      <c r="A10" s="7" t="inlineStr">
        <is>
          <t>5</t>
        </is>
      </c>
      <c r="B10" s="15" t="inlineStr">
        <is>
          <t>Phần vát đầu dầm &amp; bù dốc</t>
        </is>
      </c>
      <c r="C10" s="9" t="inlineStr">
        <is>
          <t>m3</t>
        </is>
      </c>
      <c r="D10" s="8" t="inlineStr">
        <is>
          <t>Bổ sung dung sai thiết kế</t>
        </is>
      </c>
      <c r="E10" s="8" t="inlineStr">
        <is>
          <t>15 * 0.0172</t>
        </is>
      </c>
      <c r="F10" s="16">
        <f>15*0.0172</f>
        <v/>
      </c>
      <c r="G10" s="8" t="inlineStr">
        <is>
          <t>Khớp THKL 434.80 m3</t>
        </is>
      </c>
    </row>
    <row r="11" ht="20" customHeight="1">
      <c r="A11" s="19" t="inlineStr">
        <is>
          <t>Σ</t>
        </is>
      </c>
      <c r="B11" s="20" t="inlineStr">
        <is>
          <t>TỔNG BÊ TÔNG 15 DẦM SUPER T C45</t>
        </is>
      </c>
      <c r="C11" s="19" t="inlineStr">
        <is>
          <t>m3</t>
        </is>
      </c>
      <c r="D11" s="20" t="inlineStr">
        <is>
          <t>Tổng cộng 15 dầm chủ</t>
        </is>
      </c>
      <c r="E11" s="20" t="inlineStr">
        <is>
          <t>SUM(F6:F10)</t>
        </is>
      </c>
      <c r="F11" s="21">
        <f>SUM(F6:F10)</f>
        <v/>
      </c>
      <c r="G11" s="20" t="inlineStr">
        <is>
          <t>Mác C45 đá 1x2</t>
        </is>
      </c>
    </row>
    <row r="12" ht="22" customHeight="1">
      <c r="A12" s="4" t="inlineStr">
        <is>
          <t>II</t>
        </is>
      </c>
      <c r="B12" s="5" t="inlineStr">
        <is>
          <t>VÁN KHUÔN DẦM SUPER T</t>
        </is>
      </c>
      <c r="C12" s="4" t="n"/>
      <c r="D12" s="5" t="n"/>
      <c r="E12" s="5" t="n"/>
      <c r="F12" s="6" t="n"/>
      <c r="G12" s="5" t="n"/>
    </row>
    <row r="13" ht="20" customHeight="1">
      <c r="A13" s="11" t="inlineStr">
        <is>
          <t>6</t>
        </is>
      </c>
      <c r="B13" s="17" t="inlineStr">
        <is>
          <t>Ván khuôn ngoài sườn dầm &amp; cánh</t>
        </is>
      </c>
      <c r="C13" s="13" t="inlineStr">
        <is>
          <t>m2</t>
        </is>
      </c>
      <c r="D13" s="12" t="inlineStr">
        <is>
          <t>15 dầm x 2 bên x (1.75m x 38.2m x 0.85)</t>
        </is>
      </c>
      <c r="E13" s="12" t="inlineStr">
        <is>
          <t>15*2*1.75*38.2*0.85</t>
        </is>
      </c>
      <c r="F13" s="18">
        <f>15*2*1.75*38.2*0.85</f>
        <v/>
      </c>
      <c r="G13" s="12" t="inlineStr">
        <is>
          <t>Ván khuôn thép cong</t>
        </is>
      </c>
    </row>
    <row r="14" ht="20" customHeight="1">
      <c r="A14" s="7" t="inlineStr">
        <is>
          <t>7</t>
        </is>
      </c>
      <c r="B14" s="15" t="inlineStr">
        <is>
          <t>Ván khuôn trong lòng bầu dầm (lõi)</t>
        </is>
      </c>
      <c r="C14" s="9" t="inlineStr">
        <is>
          <t>m2</t>
        </is>
      </c>
      <c r="D14" s="8" t="inlineStr">
        <is>
          <t>15 dầm x lõi rỗng</t>
        </is>
      </c>
      <c r="E14" s="8" t="inlineStr">
        <is>
          <t>15 * 142.5</t>
        </is>
      </c>
      <c r="F14" s="16">
        <f>15*142.5</f>
        <v/>
      </c>
      <c r="G14" s="8" t="inlineStr">
        <is>
          <t>Cốp pha hộp rút trong</t>
        </is>
      </c>
    </row>
    <row r="15" ht="20" customHeight="1">
      <c r="A15" s="11" t="inlineStr">
        <is>
          <t>8</t>
        </is>
      </c>
      <c r="B15" s="17" t="inlineStr">
        <is>
          <t>Ván khuôn đáy dầm &amp; đầu dầm</t>
        </is>
      </c>
      <c r="C15" s="13" t="inlineStr">
        <is>
          <t>m2</t>
        </is>
      </c>
      <c r="D15" s="12" t="inlineStr">
        <is>
          <t>15 dầm x đáy + 2 vách đầu</t>
        </is>
      </c>
      <c r="E15" s="12" t="inlineStr">
        <is>
          <t>5098.77 - F13 - F14</t>
        </is>
      </c>
      <c r="F15" s="18">
        <f>5098.77-F13-F14</f>
        <v/>
      </c>
      <c r="G15" s="12" t="inlineStr">
        <is>
          <t>Đáy bệ đúc</t>
        </is>
      </c>
    </row>
    <row r="16" ht="20" customHeight="1">
      <c r="A16" s="19" t="inlineStr">
        <is>
          <t>Σ</t>
        </is>
      </c>
      <c r="B16" s="20" t="inlineStr">
        <is>
          <t>TỔNG VÁN KHUÔN 15 DẦM SUPER T</t>
        </is>
      </c>
      <c r="C16" s="19" t="inlineStr">
        <is>
          <t>m2</t>
        </is>
      </c>
      <c r="D16" s="20" t="inlineStr">
        <is>
          <t>Tổng diện tích ván khuôn dầm</t>
        </is>
      </c>
      <c r="E16" s="20" t="inlineStr">
        <is>
          <t>SUM(F13:F15)</t>
        </is>
      </c>
      <c r="F16" s="21">
        <f>SUM(F13:F15)</f>
        <v/>
      </c>
      <c r="G16" s="20" t="inlineStr">
        <is>
          <t>Tiêu chuẩn thi công</t>
        </is>
      </c>
    </row>
    <row r="17" ht="22" customHeight="1">
      <c r="A17" s="4" t="inlineStr">
        <is>
          <t>III</t>
        </is>
      </c>
      <c r="B17" s="5" t="inlineStr">
        <is>
          <t>CÁP DỰ ỨNG LỰC DẦM 15.2MM (ASTM A416 Gr270)</t>
        </is>
      </c>
      <c r="C17" s="4" t="n"/>
      <c r="D17" s="5" t="n"/>
      <c r="E17" s="5" t="n"/>
      <c r="F17" s="6" t="n"/>
      <c r="G17" s="5" t="n"/>
    </row>
    <row r="18" ht="20" customHeight="1">
      <c r="A18" s="7" t="inlineStr">
        <is>
          <t>9</t>
        </is>
      </c>
      <c r="B18" s="15" t="inlineStr">
        <is>
          <t>Cáp DUL trong dầm (44 tao/dầm)</t>
        </is>
      </c>
      <c r="C18" s="9" t="inlineStr">
        <is>
          <t>kg</t>
        </is>
      </c>
      <c r="D18" s="8" t="inlineStr">
        <is>
          <t>15 dầm x 44 tao x 38.2m x 1.101 kg/m</t>
        </is>
      </c>
      <c r="E18" s="8" t="inlineStr">
        <is>
          <t>15*44*38.2*1.101</t>
        </is>
      </c>
      <c r="F18" s="16">
        <f>15*44*38.2*1.101</f>
        <v/>
      </c>
      <c r="G18" s="8" t="inlineStr">
        <is>
          <t>Khối lượng trong thân dầm</t>
        </is>
      </c>
    </row>
    <row r="19" ht="20" customHeight="1">
      <c r="A19" s="11" t="inlineStr">
        <is>
          <t>10</t>
        </is>
      </c>
      <c r="B19" s="17" t="inlineStr">
        <is>
          <t>Cáp dự phòng thi công kéo căng neo</t>
        </is>
      </c>
      <c r="C19" s="13" t="inlineStr">
        <is>
          <t>kg</t>
        </is>
      </c>
      <c r="D19" s="12" t="inlineStr">
        <is>
          <t>15 dầm x 44 tao x 3.0m x 1.101 kg/m</t>
        </is>
      </c>
      <c r="E19" s="12" t="inlineStr">
        <is>
          <t>15*44*3.0*1.101</t>
        </is>
      </c>
      <c r="F19" s="18">
        <f>15*44*3*1.101</f>
        <v/>
      </c>
      <c r="G19" s="12" t="inlineStr">
        <is>
          <t>2 đầu neo kéo</t>
        </is>
      </c>
    </row>
    <row r="20" ht="20" customHeight="1">
      <c r="A20" s="19" t="inlineStr">
        <is>
          <t>Σ</t>
        </is>
      </c>
      <c r="B20" s="20" t="inlineStr">
        <is>
          <t>TỔNG CÁP DỰ ỨNG LỰC DẦM 15.2MM</t>
        </is>
      </c>
      <c r="C20" s="19" t="inlineStr">
        <is>
          <t>kg</t>
        </is>
      </c>
      <c r="D20" s="20" t="inlineStr">
        <is>
          <t>Tổng khối lượng cáp sử dụng</t>
        </is>
      </c>
      <c r="E20" s="20" t="inlineStr">
        <is>
          <t>F18 + F19</t>
        </is>
      </c>
      <c r="F20" s="21">
        <f>F18+F19</f>
        <v/>
      </c>
      <c r="G20" s="20" t="inlineStr">
        <is>
          <t>29.91 Tấn</t>
        </is>
      </c>
    </row>
    <row r="21" ht="20" customHeight="1">
      <c r="A21" s="11" t="inlineStr">
        <is>
          <t>11</t>
        </is>
      </c>
      <c r="B21" s="17" t="inlineStr">
        <is>
          <t>Ống nhựa PVC D18/22 bọc cáp giảm dính</t>
        </is>
      </c>
      <c r="C21" s="13" t="inlineStr">
        <is>
          <t>m</t>
        </is>
      </c>
      <c r="D21" s="12" t="inlineStr">
        <is>
          <t>15 dầm x 240 m/dầm</t>
        </is>
      </c>
      <c r="E21" s="12" t="inlineStr">
        <is>
          <t>15 * 240</t>
        </is>
      </c>
      <c r="F21" s="18">
        <f>15*240</f>
        <v/>
      </c>
      <c r="G21" s="12" t="inlineStr">
        <is>
          <t>Debonding tubes</t>
        </is>
      </c>
    </row>
    <row r="22" ht="20" customHeight="1">
      <c r="A22" s="7" t="inlineStr">
        <is>
          <t>12</t>
        </is>
      </c>
      <c r="B22" s="15" t="inlineStr">
        <is>
          <t>Ống thông hơi PVC D50 đỉnh bầu</t>
        </is>
      </c>
      <c r="C22" s="9" t="inlineStr">
        <is>
          <t>m</t>
        </is>
      </c>
      <c r="D22" s="8" t="inlineStr">
        <is>
          <t>15 dầm x 5.15 m/dầm</t>
        </is>
      </c>
      <c r="E22" s="8" t="inlineStr">
        <is>
          <t>15 * 5.15</t>
        </is>
      </c>
      <c r="F22" s="16">
        <f>15*5.15</f>
        <v/>
      </c>
      <c r="G22" s="8" t="inlineStr">
        <is>
          <t>Thoát nước lòng dầm</t>
        </is>
      </c>
    </row>
    <row r="23" ht="20" customHeight="1">
      <c r="A23" s="11" t="inlineStr">
        <is>
          <t>13</t>
        </is>
      </c>
      <c r="B23" s="17" t="inlineStr">
        <is>
          <t>Quét Epoxy bảo vệ đầu dầm</t>
        </is>
      </c>
      <c r="C23" s="13" t="inlineStr">
        <is>
          <t>m2</t>
        </is>
      </c>
      <c r="D23" s="12" t="inlineStr">
        <is>
          <t>15 dầm x 0.41 m2/dầm</t>
        </is>
      </c>
      <c r="E23" s="12" t="inlineStr">
        <is>
          <t>15 * 0.41</t>
        </is>
      </c>
      <c r="F23" s="18">
        <f>15*0.41</f>
        <v/>
      </c>
      <c r="G23" s="12" t="inlineStr">
        <is>
          <t>Chống gỉ đầu cáp</t>
        </is>
      </c>
    </row>
    <row r="24" ht="20" customHeight="1">
      <c r="A24" s="7" t="inlineStr">
        <is>
          <t>14</t>
        </is>
      </c>
      <c r="B24" s="15" t="inlineStr">
        <is>
          <t>Móc cẩu dầm bằng cáp DUL 15.2mm</t>
        </is>
      </c>
      <c r="C24" s="9" t="inlineStr">
        <is>
          <t>m</t>
        </is>
      </c>
      <c r="D24" s="8" t="inlineStr">
        <is>
          <t>15 dầm x 32 m/dầm</t>
        </is>
      </c>
      <c r="E24" s="8" t="inlineStr">
        <is>
          <t>15 * 32</t>
        </is>
      </c>
      <c r="F24" s="16">
        <f>15*32</f>
        <v/>
      </c>
      <c r="G24" s="8" t="inlineStr">
        <is>
          <t>Móc cẩu chuyên dụng</t>
        </is>
      </c>
    </row>
    <row r="25" ht="20" customHeight="1">
      <c r="A25" s="11" t="inlineStr">
        <is>
          <t>15</t>
        </is>
      </c>
      <c r="B25" s="17" t="inlineStr">
        <is>
          <t>Bộ nối cốt thép D16</t>
        </is>
      </c>
      <c r="C25" s="13" t="inlineStr">
        <is>
          <t>Bộ</t>
        </is>
      </c>
      <c r="D25" s="12" t="inlineStr">
        <is>
          <t>15 dầm x (16..32 bộ/dầm)</t>
        </is>
      </c>
      <c r="E25" s="12" t="inlineStr">
        <is>
          <t>384 bộ</t>
        </is>
      </c>
      <c r="F25" s="18">
        <f>6*16+9*32</f>
        <v/>
      </c>
      <c r="G25" s="12" t="inlineStr">
        <is>
          <t>Nối thép bản cánh</t>
        </is>
      </c>
    </row>
    <row r="26" ht="22" customHeight="1">
      <c r="A26" s="4" t="inlineStr">
        <is>
          <t>IV</t>
        </is>
      </c>
      <c r="B26" s="5" t="inlineStr">
        <is>
          <t>CỐT THÉP THƯỜNG DẦM SUPER T</t>
        </is>
      </c>
      <c r="C26" s="4" t="n"/>
      <c r="D26" s="5" t="n"/>
      <c r="E26" s="5" t="n"/>
      <c r="F26" s="6" t="n"/>
      <c r="G26" s="5" t="n"/>
    </row>
    <row r="27" ht="20" customHeight="1">
      <c r="A27" s="11" t="inlineStr">
        <is>
          <t>16</t>
        </is>
      </c>
      <c r="B27" s="17" t="inlineStr">
        <is>
          <t>Cốt thép D&lt;=10mm</t>
        </is>
      </c>
      <c r="C27" s="13" t="inlineStr">
        <is>
          <t>kg</t>
        </is>
      </c>
      <c r="D27" s="12" t="inlineStr">
        <is>
          <t>Không bố trí thép D&lt;=10</t>
        </is>
      </c>
      <c r="E27" s="12" t="inlineStr">
        <is>
          <t>0</t>
        </is>
      </c>
      <c r="F27" s="18">
        <f>0</f>
        <v/>
      </c>
      <c r="G27" s="12" t="inlineStr">
        <is>
          <t>Không dùng D&lt;=10</t>
        </is>
      </c>
    </row>
    <row r="28" ht="20" customHeight="1">
      <c r="A28" s="7" t="inlineStr">
        <is>
          <t>17</t>
        </is>
      </c>
      <c r="B28" s="15" t="inlineStr">
        <is>
          <t>Cốt thép 10&lt;D&lt;=18mm (A1..A7, G1..G8)</t>
        </is>
      </c>
      <c r="C28" s="9" t="inlineStr">
        <is>
          <t>kg</t>
        </is>
      </c>
      <c r="D28" s="8" t="inlineStr">
        <is>
          <t>Thép đai sườn, thép cánh dầm</t>
        </is>
      </c>
      <c r="E28" s="8" t="inlineStr">
        <is>
          <t>Thống kê chi tiết</t>
        </is>
      </c>
      <c r="F28" s="16">
        <f>3*5274.78+3*5268.81+9*5123.61</f>
        <v/>
      </c>
      <c r="G28" s="8" t="inlineStr">
        <is>
          <t>77.74 Tấn</t>
        </is>
      </c>
    </row>
    <row r="29" ht="20" customHeight="1">
      <c r="A29" s="11" t="inlineStr">
        <is>
          <t>18</t>
        </is>
      </c>
      <c r="B29" s="17" t="inlineStr">
        <is>
          <t>Cốt thép D&gt;18mm (Thép chủ dọc bầu dầm)</t>
        </is>
      </c>
      <c r="C29" s="13" t="inlineStr">
        <is>
          <t>kg</t>
        </is>
      </c>
      <c r="D29" s="12" t="inlineStr">
        <is>
          <t>Thép chịu uốn dọc dầm D20, D25</t>
        </is>
      </c>
      <c r="E29" s="12" t="inlineStr">
        <is>
          <t>Thống kê chi tiết</t>
        </is>
      </c>
      <c r="F29" s="18">
        <f>15*796.47</f>
        <v/>
      </c>
      <c r="G29" s="12" t="inlineStr">
        <is>
          <t>11.95 Tấn</t>
        </is>
      </c>
    </row>
    <row r="30" ht="20" customHeight="1">
      <c r="A30" s="19" t="inlineStr">
        <is>
          <t>Σ</t>
        </is>
      </c>
      <c r="B30" s="20" t="inlineStr">
        <is>
          <t>TỔNG CỐT THÉP THƯỜNG DẦM SUPER T</t>
        </is>
      </c>
      <c r="C30" s="19" t="inlineStr">
        <is>
          <t>kg</t>
        </is>
      </c>
      <c r="D30" s="20" t="inlineStr">
        <is>
          <t>Tổng khối lượng thép thường</t>
        </is>
      </c>
      <c r="E30" s="20" t="inlineStr">
        <is>
          <t>SUM(F27:F29)</t>
        </is>
      </c>
      <c r="F30" s="21">
        <f>SUM(F27:F29)</f>
        <v/>
      </c>
      <c r="G30" s="20" t="inlineStr">
        <is>
          <t>89.69 Tấn</t>
        </is>
      </c>
    </row>
    <row r="31" ht="20" customHeight="1">
      <c r="A31" s="11" t="inlineStr">
        <is>
          <t>19</t>
        </is>
      </c>
      <c r="B31" s="17" t="inlineStr">
        <is>
          <t>Thép tấm đệm đáy dầm mạ kẽm</t>
        </is>
      </c>
      <c r="C31" s="13" t="inlineStr">
        <is>
          <t>kg</t>
        </is>
      </c>
      <c r="D31" s="12" t="inlineStr">
        <is>
          <t>Bản thép đặt gối dưới đáy dầm</t>
        </is>
      </c>
      <c r="E31" s="12" t="inlineStr">
        <is>
          <t>941.1 kg</t>
        </is>
      </c>
      <c r="F31" s="18">
        <f>ROUND(30*0.54*0.37*0.02*7850, 1)</f>
        <v/>
      </c>
      <c r="G31" s="12" t="inlineStr">
        <is>
          <t>0.94 Tấn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4"/>
  <cols>
    <col width="10" customWidth="1" min="1" max="1"/>
    <col width="46" customWidth="1" min="2" max="2"/>
    <col width="10" customWidth="1" min="3" max="3"/>
    <col width="50" customWidth="1" min="4" max="4"/>
    <col width="13" customWidth="1" min="5" max="5"/>
    <col width="30" customWidth="1" min="6" max="6"/>
  </cols>
  <sheetData>
    <row r="1" ht="20" customHeight="1">
      <c r="A1" s="1" t="inlineStr">
        <is>
          <t>BÓC TÁCH CHI TIẾT DẦM NGANG, BẢN MẶT CẦU, GỜ LAN CAN &amp; HOÀN THIỆN</t>
        </is>
      </c>
    </row>
    <row r="2" ht="14.5" customHeight="1">
      <c r="A2" s="2" t="inlineStr">
        <is>
          <t>Bao gồm: Dầm ngang đổ tại chỗ, bản mặt cầu dày 200mm, mối nối liên tục nhiệt, lớp phủ BTN &amp; gờ chắn bánh</t>
        </is>
      </c>
    </row>
    <row r="4" ht="28" customHeight="1">
      <c r="A4" s="3" t="inlineStr">
        <is>
          <t>STT</t>
        </is>
      </c>
      <c r="B4" s="3" t="inlineStr">
        <is>
          <t>Hạng mục / Cấu kiện chi tiết</t>
        </is>
      </c>
      <c r="C4" s="3" t="inlineStr">
        <is>
          <t>Đơn vị</t>
        </is>
      </c>
      <c r="D4" s="3" t="inlineStr">
        <is>
          <t>Kích thước hình học diễn giải</t>
        </is>
      </c>
      <c r="E4" s="3" t="inlineStr">
        <is>
          <t>Khối lượng</t>
        </is>
      </c>
      <c r="F4" s="3" t="inlineStr">
        <is>
          <t>Ghi chú kỹ thuật</t>
        </is>
      </c>
    </row>
    <row r="5" ht="22" customHeight="1">
      <c r="A5" s="4" t="inlineStr">
        <is>
          <t>I</t>
        </is>
      </c>
      <c r="B5" s="5" t="inlineStr">
        <is>
          <t>DẦM NGANG BTCT C35 (ĐỔ TẠI CHỖ)</t>
        </is>
      </c>
      <c r="C5" s="4" t="n"/>
      <c r="D5" s="5" t="n"/>
      <c r="E5" s="6" t="n"/>
      <c r="F5" s="5" t="n"/>
    </row>
    <row r="6" ht="20" customHeight="1">
      <c r="A6" s="7" t="inlineStr">
        <is>
          <t>1</t>
        </is>
      </c>
      <c r="B6" s="15" t="inlineStr">
        <is>
          <t>Bê tông dầm ngang C35</t>
        </is>
      </c>
      <c r="C6" s="9" t="inlineStr">
        <is>
          <t>m3</t>
        </is>
      </c>
      <c r="D6" s="8" t="inlineStr">
        <is>
          <t>3 nhịp x 2 đầu nhịp x 4 khoang x (0.3m x 1.35m x 2.0m)</t>
        </is>
      </c>
      <c r="E6" s="16">
        <f>ROUND(3*6.46, 2)</f>
        <v/>
      </c>
      <c r="F6" s="8" t="inlineStr">
        <is>
          <t>Đổ tại chỗ liên kết đầu dầm</t>
        </is>
      </c>
    </row>
    <row r="7" ht="20" customHeight="1">
      <c r="A7" s="11" t="inlineStr">
        <is>
          <t>2</t>
        </is>
      </c>
      <c r="B7" s="17" t="inlineStr">
        <is>
          <t>Ván khuôn dầm ngang</t>
        </is>
      </c>
      <c r="C7" s="13" t="inlineStr">
        <is>
          <t>m2</t>
        </is>
      </c>
      <c r="D7" s="12" t="inlineStr">
        <is>
          <t>Thành bên &amp; đáy dầm ngang</t>
        </is>
      </c>
      <c r="E7" s="18">
        <f>ROUND(3*16.072, 2)</f>
        <v/>
      </c>
      <c r="F7" s="12" t="inlineStr">
        <is>
          <t>Ván khuôn gỗ/thép</t>
        </is>
      </c>
    </row>
    <row r="8" ht="20" customHeight="1">
      <c r="A8" s="7" t="inlineStr">
        <is>
          <t>3</t>
        </is>
      </c>
      <c r="B8" s="15" t="inlineStr">
        <is>
          <t>Cốt thép dầm ngang (A1..A6)</t>
        </is>
      </c>
      <c r="C8" s="9" t="inlineStr">
        <is>
          <t>kg</t>
        </is>
      </c>
      <c r="D8" s="8" t="inlineStr">
        <is>
          <t>Thép đai và thép dọc dầm ngang</t>
        </is>
      </c>
      <c r="E8" s="16">
        <f>3*(806.43+114.61)</f>
        <v/>
      </c>
      <c r="F8" s="8" t="inlineStr">
        <is>
          <t>2.76 Tấn</t>
        </is>
      </c>
    </row>
    <row r="9" ht="22" customHeight="1">
      <c r="A9" s="4" t="inlineStr">
        <is>
          <t>II</t>
        </is>
      </c>
      <c r="B9" s="5" t="inlineStr">
        <is>
          <t>BẢN MẶT CẦU &amp; MỐI NỐI LIÊN TỤC NHIỆT (C35)</t>
        </is>
      </c>
      <c r="C9" s="4" t="n"/>
      <c r="D9" s="5" t="n"/>
      <c r="E9" s="6" t="n"/>
      <c r="F9" s="5" t="n"/>
    </row>
    <row r="10" ht="20" customHeight="1">
      <c r="A10" s="7" t="inlineStr">
        <is>
          <t>4</t>
        </is>
      </c>
      <c r="B10" s="15" t="inlineStr">
        <is>
          <t>Bê tông bản mặt cầu C35 (h=200mm)</t>
        </is>
      </c>
      <c r="C10" s="9" t="inlineStr">
        <is>
          <t>m3</t>
        </is>
      </c>
      <c r="D10" s="8" t="inlineStr">
        <is>
          <t>L=36.74m x B=12.515m x h=0.20m x 3 nhịp x k_gờ</t>
        </is>
      </c>
      <c r="E10" s="16">
        <f>ROUND(3*101.82, 2)</f>
        <v/>
      </c>
      <c r="F10" s="8" t="inlineStr">
        <is>
          <t>Đổ tại chỗ trên tấm panel</t>
        </is>
      </c>
    </row>
    <row r="11" ht="20" customHeight="1">
      <c r="A11" s="11" t="inlineStr">
        <is>
          <t>5</t>
        </is>
      </c>
      <c r="B11" s="17" t="inlineStr">
        <is>
          <t>Bê tông mối nối liên tục nhiệt C35</t>
        </is>
      </c>
      <c r="C11" s="13" t="inlineStr">
        <is>
          <t>m3</t>
        </is>
      </c>
      <c r="D11" s="12" t="inlineStr">
        <is>
          <t>2 mối nối đỉnh trụ T1, T2</t>
        </is>
      </c>
      <c r="E11" s="18">
        <f>ROUND(2*10.935, 2)</f>
        <v/>
      </c>
      <c r="F11" s="12" t="inlineStr">
        <is>
          <t>Tạo sơ đồ liên tục nhiệt</t>
        </is>
      </c>
    </row>
    <row r="12" ht="20" customHeight="1">
      <c r="A12" s="7" t="inlineStr">
        <is>
          <t>6</t>
        </is>
      </c>
      <c r="B12" s="15" t="inlineStr">
        <is>
          <t>Cốt thép bản mặt cầu (S1..S4, DR1..DR3)</t>
        </is>
      </c>
      <c r="C12" s="9" t="inlineStr">
        <is>
          <t>kg</t>
        </is>
      </c>
      <c r="D12" s="8" t="inlineStr">
        <is>
          <t>Lưới thép trên dưới D10, D14, D18</t>
        </is>
      </c>
      <c r="E12" s="16">
        <f>76676.45+8917.94</f>
        <v/>
      </c>
      <c r="F12" s="8" t="inlineStr">
        <is>
          <t>85.59 Tấn</t>
        </is>
      </c>
    </row>
    <row r="13" ht="20" customHeight="1">
      <c r="A13" s="11" t="inlineStr">
        <is>
          <t>7</t>
        </is>
      </c>
      <c r="B13" s="17" t="inlineStr">
        <is>
          <t>Ván khuôn bản mặt cầu &amp; liên tục nhiệt</t>
        </is>
      </c>
      <c r="C13" s="13" t="inlineStr">
        <is>
          <t>m2</t>
        </is>
      </c>
      <c r="D13" s="12" t="inlineStr">
        <is>
          <t>Ván khuôn mép biên &amp; khe co giãn</t>
        </is>
      </c>
      <c r="E13" s="18">
        <f>ROUND(43.96+13.08, 2)</f>
        <v/>
      </c>
      <c r="F13" s="12" t="inlineStr">
        <is>
          <t>Cốp pha mép ngoài</t>
        </is>
      </c>
    </row>
    <row r="14" ht="20" customHeight="1">
      <c r="A14" s="7" t="inlineStr">
        <is>
          <t>8</t>
        </is>
      </c>
      <c r="B14" s="15" t="inlineStr">
        <is>
          <t>Đệm cao su dày 20mm liên tục nhiệt</t>
        </is>
      </c>
      <c r="C14" s="9" t="inlineStr">
        <is>
          <t>m2</t>
        </is>
      </c>
      <c r="D14" s="8" t="inlineStr">
        <is>
          <t>Dưới đáy bản liên tục nhiệt đỉnh trụ</t>
        </is>
      </c>
      <c r="E14" s="16">
        <f>2*19.88</f>
        <v/>
      </c>
      <c r="F14" s="8" t="inlineStr">
        <is>
          <t>Triệt tiêu ứng suất trượt</t>
        </is>
      </c>
    </row>
    <row r="15" ht="20" customHeight="1">
      <c r="A15" s="11" t="inlineStr">
        <is>
          <t>9</t>
        </is>
      </c>
      <c r="B15" s="17" t="inlineStr">
        <is>
          <t>Xốp chèn khe co giãn bản mặt cầu</t>
        </is>
      </c>
      <c r="C15" s="13" t="inlineStr">
        <is>
          <t>m2</t>
        </is>
      </c>
      <c r="D15" s="12" t="inlineStr">
        <is>
          <t>Chèn khe nhiệt</t>
        </is>
      </c>
      <c r="E15" s="18">
        <f>ROUND(22.04+2.485+1.605, 2)</f>
        <v/>
      </c>
      <c r="F15" s="12" t="inlineStr">
        <is>
          <t>Xốp EPS tỷ trọng cao</t>
        </is>
      </c>
    </row>
    <row r="16" ht="22" customHeight="1">
      <c r="A16" s="4" t="inlineStr">
        <is>
          <t>III</t>
        </is>
      </c>
      <c r="B16" s="5" t="inlineStr">
        <is>
          <t>TẤM VÁN KHUÔN ĐÚC SẴN (STAY-IN-PLACE PANEL)</t>
        </is>
      </c>
      <c r="C16" s="4" t="n"/>
      <c r="D16" s="5" t="n"/>
      <c r="E16" s="6" t="n"/>
      <c r="F16" s="5" t="n"/>
    </row>
    <row r="17" ht="20" customHeight="1">
      <c r="A17" s="11" t="inlineStr">
        <is>
          <t>10</t>
        </is>
      </c>
      <c r="B17" s="17" t="inlineStr">
        <is>
          <t>Số lượng tấm đan đúc sẵn</t>
        </is>
      </c>
      <c r="C17" s="13" t="inlineStr">
        <is>
          <t>tấm</t>
        </is>
      </c>
      <c r="D17" s="12" t="inlineStr">
        <is>
          <t>Bố trí giữa các cánh dầm Super T</t>
        </is>
      </c>
      <c r="E17" s="18">
        <f>3*170</f>
        <v/>
      </c>
      <c r="F17" s="12" t="inlineStr">
        <is>
          <t>Đúc sẵn tại bãi</t>
        </is>
      </c>
    </row>
    <row r="18" ht="20" customHeight="1">
      <c r="A18" s="7" t="inlineStr">
        <is>
          <t>11</t>
        </is>
      </c>
      <c r="B18" s="15" t="inlineStr">
        <is>
          <t>Bê tông tấm đan C25</t>
        </is>
      </c>
      <c r="C18" s="9" t="inlineStr">
        <is>
          <t>m3</t>
        </is>
      </c>
      <c r="D18" s="8" t="inlineStr">
        <is>
          <t>510 tấm x thể tích 1 tấm</t>
        </is>
      </c>
      <c r="E18" s="16">
        <f>ROUND(510*0.02594, 2)</f>
        <v/>
      </c>
      <c r="F18" s="8" t="inlineStr">
        <is>
          <t>Bê tông C25</t>
        </is>
      </c>
    </row>
    <row r="19" ht="20" customHeight="1">
      <c r="A19" s="11" t="inlineStr">
        <is>
          <t>12</t>
        </is>
      </c>
      <c r="B19" s="17" t="inlineStr">
        <is>
          <t>Cốt thép lưới tấm đan D&lt;=10mm</t>
        </is>
      </c>
      <c r="C19" s="13" t="inlineStr">
        <is>
          <t>kg</t>
        </is>
      </c>
      <c r="D19" s="12" t="inlineStr">
        <is>
          <t>Lưới thép hàn D6/D8</t>
        </is>
      </c>
      <c r="E19" s="18">
        <f>ROUND(510*4.5547, 1)</f>
        <v/>
      </c>
      <c r="F19" s="12" t="inlineStr">
        <is>
          <t>2.32 Tấn</t>
        </is>
      </c>
    </row>
    <row r="20" ht="20" customHeight="1">
      <c r="A20" s="7" t="inlineStr">
        <is>
          <t>13</t>
        </is>
      </c>
      <c r="B20" s="15" t="inlineStr">
        <is>
          <t>Ván khuôn đúc tấm đan</t>
        </is>
      </c>
      <c r="C20" s="9" t="inlineStr">
        <is>
          <t>m2</t>
        </is>
      </c>
      <c r="D20" s="8" t="inlineStr">
        <is>
          <t>Ván khuôn đáy và thành tấm</t>
        </is>
      </c>
      <c r="E20" s="16">
        <f>ROUND(510*0.9897, 2)</f>
        <v/>
      </c>
      <c r="F20" s="8" t="inlineStr">
        <is>
          <t>Tái sử dụng nhiều lần</t>
        </is>
      </c>
    </row>
    <row r="21" ht="22" customHeight="1">
      <c r="A21" s="4" t="inlineStr">
        <is>
          <t>IV</t>
        </is>
      </c>
      <c r="B21" s="5" t="inlineStr">
        <is>
          <t>LỚP PHỦ MẶT CẦU &amp; PHÒNG NƯỚC</t>
        </is>
      </c>
      <c r="C21" s="4" t="n"/>
      <c r="D21" s="5" t="n"/>
      <c r="E21" s="6" t="n"/>
      <c r="F21" s="5" t="n"/>
    </row>
    <row r="22" ht="20" customHeight="1">
      <c r="A22" s="7" t="inlineStr">
        <is>
          <t>14</t>
        </is>
      </c>
      <c r="B22" s="15" t="inlineStr">
        <is>
          <t>Bê tông nhựa chặt C16 dày 7cm</t>
        </is>
      </c>
      <c r="C22" s="9" t="inlineStr">
        <is>
          <t>m2</t>
        </is>
      </c>
      <c r="D22" s="8" t="inlineStr">
        <is>
          <t>Diện tích xe chạy: 118.2m x 11.68m</t>
        </is>
      </c>
      <c r="E22" s="16">
        <f>ROUND(110.29884*12.515, 2)</f>
        <v/>
      </c>
      <c r="F22" s="8" t="inlineStr">
        <is>
          <t>Trọng lượng ~231.9 Tấn</t>
        </is>
      </c>
    </row>
    <row r="23" ht="20" customHeight="1">
      <c r="A23" s="11" t="inlineStr">
        <is>
          <t>15</t>
        </is>
      </c>
      <c r="B23" s="17" t="inlineStr">
        <is>
          <t>Tưới nhựa dính bám thấm bám (0.5 kg/m2)</t>
        </is>
      </c>
      <c r="C23" s="13" t="inlineStr">
        <is>
          <t>m2</t>
        </is>
      </c>
      <c r="D23" s="12" t="inlineStr">
        <is>
          <t>Tưới đều trước khi thảm nhựa</t>
        </is>
      </c>
      <c r="E23" s="18">
        <f>E22</f>
        <v/>
      </c>
      <c r="F23" s="12" t="inlineStr">
        <is>
          <t>690.2 kg nhựa</t>
        </is>
      </c>
    </row>
    <row r="24" ht="20" customHeight="1">
      <c r="A24" s="7" t="inlineStr">
        <is>
          <t>16</t>
        </is>
      </c>
      <c r="B24" s="15" t="inlineStr">
        <is>
          <t>Lớp phòng nước phun thẩm thấu</t>
        </is>
      </c>
      <c r="C24" s="9" t="inlineStr">
        <is>
          <t>m2</t>
        </is>
      </c>
      <c r="D24" s="8" t="inlineStr">
        <is>
          <t>Chống thấm bản mặt cầu</t>
        </is>
      </c>
      <c r="E24" s="16">
        <f>E22</f>
        <v/>
      </c>
      <c r="F24" s="8" t="inlineStr">
        <is>
          <t>Bảo vệ cốt thép bản</t>
        </is>
      </c>
    </row>
    <row r="25" ht="22" customHeight="1">
      <c r="A25" s="4" t="inlineStr">
        <is>
          <t>V</t>
        </is>
      </c>
      <c r="B25" s="5" t="inlineStr">
        <is>
          <t>GỜ CHẮN BÁNH &amp; LAN CAN CẦU</t>
        </is>
      </c>
      <c r="C25" s="4" t="n"/>
      <c r="D25" s="5" t="n"/>
      <c r="E25" s="6" t="n"/>
      <c r="F25" s="5" t="n"/>
    </row>
    <row r="26" ht="20" customHeight="1">
      <c r="A26" s="7" t="inlineStr">
        <is>
          <t>17</t>
        </is>
      </c>
      <c r="B26" s="15" t="inlineStr">
        <is>
          <t>Bê tông gờ chắn bánh C25</t>
        </is>
      </c>
      <c r="C26" s="9" t="inlineStr">
        <is>
          <t>m3</t>
        </is>
      </c>
      <c r="D26" s="8" t="inlineStr">
        <is>
          <t>2 gờ x L=118.2m x tiết diện 0.441 m2</t>
        </is>
      </c>
      <c r="E26" s="16">
        <f>ROUND(2*118.2*0.4411, 2)</f>
        <v/>
      </c>
      <c r="F26" s="8" t="inlineStr">
        <is>
          <t>Đổ tại chỗ 2 bên cầu</t>
        </is>
      </c>
    </row>
    <row r="27" ht="20" customHeight="1">
      <c r="A27" s="11" t="inlineStr">
        <is>
          <t>18</t>
        </is>
      </c>
      <c r="B27" s="17" t="inlineStr">
        <is>
          <t>Cốt thép gờ chắn bánh</t>
        </is>
      </c>
      <c r="C27" s="13" t="inlineStr">
        <is>
          <t>kg</t>
        </is>
      </c>
      <c r="D27" s="12" t="inlineStr">
        <is>
          <t>Thép đai &amp; thép dọc gờ</t>
        </is>
      </c>
      <c r="E27" s="18">
        <f>ROUND(13674.55+6394.47, 2)</f>
        <v/>
      </c>
      <c r="F27" s="12" t="inlineStr">
        <is>
          <t>20.07 Tấn</t>
        </is>
      </c>
    </row>
    <row r="28" ht="20" customHeight="1">
      <c r="A28" s="7" t="inlineStr">
        <is>
          <t>19</t>
        </is>
      </c>
      <c r="B28" s="15" t="inlineStr">
        <is>
          <t>Ván khuôn gờ chắn bánh</t>
        </is>
      </c>
      <c r="C28" s="9" t="inlineStr">
        <is>
          <t>m2</t>
        </is>
      </c>
      <c r="D28" s="8" t="inlineStr">
        <is>
          <t>Thành trong, thành ngoài gờ</t>
        </is>
      </c>
      <c r="E28" s="16">
        <f>ROUND(2*118.2*2.7028, 2)</f>
        <v/>
      </c>
      <c r="F28" s="8" t="inlineStr">
        <is>
          <t>Ván khuôn định hình</t>
        </is>
      </c>
    </row>
    <row r="29" ht="20" customHeight="1">
      <c r="A29" s="11" t="inlineStr">
        <is>
          <t>20</t>
        </is>
      </c>
      <c r="B29" s="17" t="inlineStr">
        <is>
          <t>Xốp chèn khe gờ lan can</t>
        </is>
      </c>
      <c r="C29" s="13" t="inlineStr">
        <is>
          <t>m2</t>
        </is>
      </c>
      <c r="D29" s="12" t="inlineStr">
        <is>
          <t>Cắt khe co giãn gờ 5m/khe</t>
        </is>
      </c>
      <c r="E29" s="18">
        <f>ROUND(132.76+16.79, 2)</f>
        <v/>
      </c>
      <c r="F29" s="12" t="inlineStr">
        <is>
          <t>Chống nứt nhiệt gờ</t>
        </is>
      </c>
    </row>
    <row r="30" ht="20" customHeight="1">
      <c r="A30" s="7" t="inlineStr">
        <is>
          <t>21</t>
        </is>
      </c>
      <c r="B30" s="15" t="inlineStr">
        <is>
          <t>Ống nhựa PVC D125 thoát nước gờ</t>
        </is>
      </c>
      <c r="C30" s="9" t="inlineStr">
        <is>
          <t>m</t>
        </is>
      </c>
      <c r="D30" s="8" t="inlineStr">
        <is>
          <t>Bố trí dọc gờ chắn</t>
        </is>
      </c>
      <c r="E30" s="16">
        <f>ROUND(118.3*1, 1)</f>
        <v/>
      </c>
      <c r="F30" s="8" t="inlineStr">
        <is>
          <t>Thoát nước mặt cầu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4"/>
  <cols>
    <col width="10" customWidth="1" min="1" max="1"/>
    <col width="50" customWidth="1" min="2" max="2"/>
    <col width="10" customWidth="1" min="3" max="3"/>
    <col width="50" customWidth="1" min="4" max="4"/>
    <col width="16" customWidth="1" min="5" max="5"/>
    <col width="25" customWidth="1" min="6" max="6"/>
  </cols>
  <sheetData>
    <row r="1" ht="20" customHeight="1">
      <c r="A1" s="1" t="inlineStr">
        <is>
          <t>BÓC TÁCH CHI TIẾT HÌNH HỌC MỐ M1 VÀ MỐ M2 (CẦU KM19+529.08)</t>
        </is>
      </c>
    </row>
    <row r="2" ht="14.5" customHeight="1">
      <c r="A2" s="2" t="inlineStr">
        <is>
          <t>Bao gồm: Mố M1 thân thấp trên 3 cọc D1200 (H_thân=2.124m) &amp; Mố M2 chữ U trên 7 cọc D1200 (H_thân=6.156m)</t>
        </is>
      </c>
    </row>
    <row r="4" ht="28" customHeight="1">
      <c r="A4" s="3" t="inlineStr">
        <is>
          <t>STT</t>
        </is>
      </c>
      <c r="B4" s="3" t="inlineStr">
        <is>
          <t>Bộ phận kết cấu mố</t>
        </is>
      </c>
      <c r="C4" s="3" t="inlineStr">
        <is>
          <t>Đơn vị</t>
        </is>
      </c>
      <c r="D4" s="3" t="inlineStr">
        <is>
          <t>Kích thước hình học chi tiết</t>
        </is>
      </c>
      <c r="E4" s="3" t="inlineStr">
        <is>
          <t>Khối lượng</t>
        </is>
      </c>
      <c r="F4" s="3" t="inlineStr">
        <is>
          <t>Ghi chú kỹ thuật</t>
        </is>
      </c>
    </row>
    <row r="5" ht="22" customHeight="1">
      <c r="A5" s="4" t="inlineStr">
        <is>
          <t>I</t>
        </is>
      </c>
      <c r="B5" s="5" t="inlineStr">
        <is>
          <t>BÊ TÔNG MỐ M1 &amp; M2 (C30/38)</t>
        </is>
      </c>
      <c r="C5" s="4" t="n"/>
      <c r="D5" s="5" t="n"/>
      <c r="E5" s="6" t="n"/>
      <c r="F5" s="5" t="n"/>
    </row>
    <row r="6" ht="20" customHeight="1">
      <c r="A6" s="7" t="inlineStr">
        <is>
          <t>1</t>
        </is>
      </c>
      <c r="B6" s="15" t="inlineStr">
        <is>
          <t>Bệ mố M1 (Mố thân thấp tựa trực tiếp trên 3 cọc D1200)</t>
        </is>
      </c>
      <c r="C6" s="9" t="inlineStr">
        <is>
          <t>m3</t>
        </is>
      </c>
      <c r="D6" s="8" t="inlineStr">
        <is>
          <t>Không có bệ riêng (Thân mố tựa trực tiếp trên 3 cọc D1200)</t>
        </is>
      </c>
      <c r="E6" s="16">
        <f>0</f>
        <v/>
      </c>
      <c r="F6" s="8" t="inlineStr">
        <is>
          <t>Khớp 06.THKL (Bệ M1 = 0 m3)</t>
        </is>
      </c>
    </row>
    <row r="7" ht="20" customHeight="1">
      <c r="A7" s="11" t="inlineStr">
        <is>
          <t>2</t>
        </is>
      </c>
      <c r="B7" s="17" t="inlineStr">
        <is>
          <t>Bệ mố M2 (7 cọc D1200)</t>
        </is>
      </c>
      <c r="C7" s="13" t="inlineStr">
        <is>
          <t>m3</t>
        </is>
      </c>
      <c r="D7" s="12" t="inlineStr">
        <is>
          <t>12.515m x 6.00m x 2.00m - 7 cọc x (pi x 0.6^2 x 0.15m)</t>
        </is>
      </c>
      <c r="E7" s="18">
        <f>ROUND(12.515*6*2 - 7*PI()*0.6^2*0.15, 2)</f>
        <v/>
      </c>
      <c r="F7" s="12" t="inlineStr">
        <is>
          <t>Trừ cọc ngàm 150mm</t>
        </is>
      </c>
    </row>
    <row r="8" ht="20" customHeight="1">
      <c r="A8" s="19" t="inlineStr">
        <is>
          <t>Σ</t>
        </is>
      </c>
      <c r="B8" s="20" t="inlineStr">
        <is>
          <t>TỔNG BÊ TÔNG 2 BỆ MỐ</t>
        </is>
      </c>
      <c r="C8" s="19" t="inlineStr">
        <is>
          <t>m3</t>
        </is>
      </c>
      <c r="D8" s="20" t="inlineStr">
        <is>
          <t>Tổng 2 bệ mố M1 + M2</t>
        </is>
      </c>
      <c r="E8" s="22">
        <f>E6+E7</f>
        <v/>
      </c>
      <c r="F8" s="20" t="inlineStr">
        <is>
          <t>Khớp THKL 148.99 m3</t>
        </is>
      </c>
    </row>
    <row r="9" ht="20" customHeight="1">
      <c r="A9" s="11" t="inlineStr">
        <is>
          <t>3</t>
        </is>
      </c>
      <c r="B9" s="17" t="inlineStr">
        <is>
          <t>Tường thân mố M1 (H=2.124m)</t>
        </is>
      </c>
      <c r="C9" s="13" t="inlineStr">
        <is>
          <t>m3</t>
        </is>
      </c>
      <c r="D9" s="12" t="inlineStr">
        <is>
          <t>12.515m x 2.00m x 2.124m + 0.307m3 vát - 3 cọc ngàm 0.15m</t>
        </is>
      </c>
      <c r="E9" s="18">
        <f>ROUND(12.515*2*2.124 + 0.30672 - 3*PI()*0.6^2*0.15, 2)</f>
        <v/>
      </c>
      <c r="F9" s="12" t="inlineStr">
        <is>
          <t>Mố M1 bờ Hà Giang</t>
        </is>
      </c>
    </row>
    <row r="10" ht="20" customHeight="1">
      <c r="A10" s="7" t="inlineStr">
        <is>
          <t>4</t>
        </is>
      </c>
      <c r="B10" s="15" t="inlineStr">
        <is>
          <t>Tường thân mố M2 (H=6.16m)</t>
        </is>
      </c>
      <c r="C10" s="9" t="inlineStr">
        <is>
          <t>m3</t>
        </is>
      </c>
      <c r="D10" s="8" t="inlineStr">
        <is>
          <t>12.515m x 1.50m x 6.156m + vát xà mũ</t>
        </is>
      </c>
      <c r="E10" s="16">
        <f>ROUND(12.515*1.5*6.156 + 0.34649, 2)</f>
        <v/>
      </c>
      <c r="F10" s="8" t="inlineStr">
        <is>
          <t>Mố M2 bờ Tuyên Quang</t>
        </is>
      </c>
    </row>
    <row r="11" ht="20" customHeight="1">
      <c r="A11" s="19" t="inlineStr">
        <is>
          <t>Σ</t>
        </is>
      </c>
      <c r="B11" s="20" t="inlineStr">
        <is>
          <t>TỔNG BÊ TÔNG THÂN MỐ M1 + M2</t>
        </is>
      </c>
      <c r="C11" s="19" t="inlineStr">
        <is>
          <t>m3</t>
        </is>
      </c>
      <c r="D11" s="20" t="inlineStr">
        <is>
          <t>Khối lượng thân mố 2 đầu</t>
        </is>
      </c>
      <c r="E11" s="21">
        <f>E9+E10</f>
        <v/>
      </c>
      <c r="F11" s="20" t="inlineStr">
        <is>
          <t>Khớp THKL TVTK</t>
        </is>
      </c>
    </row>
    <row r="12" ht="20" customHeight="1">
      <c r="A12" s="7" t="inlineStr">
        <is>
          <t>5</t>
        </is>
      </c>
      <c r="B12" s="15" t="inlineStr">
        <is>
          <t>Tường đỉnh / tường ngực mố M1</t>
        </is>
      </c>
      <c r="C12" s="9" t="inlineStr">
        <is>
          <t>m3</t>
        </is>
      </c>
      <c r="D12" s="8" t="inlineStr">
        <is>
          <t>12.515m x 0.50m x 2.014m + gờ đỡ bản quá độ 1.622m3</t>
        </is>
      </c>
      <c r="E12" s="16">
        <f>ROUND(12.515*0.5*2.014 + 1.622, 2)</f>
        <v/>
      </c>
      <c r="F12" s="8" t="inlineStr">
        <is>
          <t>Chắn đất đầu dầm</t>
        </is>
      </c>
    </row>
    <row r="13" ht="20" customHeight="1">
      <c r="A13" s="11" t="inlineStr">
        <is>
          <t>6</t>
        </is>
      </c>
      <c r="B13" s="17" t="inlineStr">
        <is>
          <t>Tường đỉnh / tường ngực mố M2</t>
        </is>
      </c>
      <c r="C13" s="13" t="inlineStr">
        <is>
          <t>m3</t>
        </is>
      </c>
      <c r="D13" s="12" t="inlineStr">
        <is>
          <t>12.515m x 0.50m x 2.038m + gờ đỡ bản quá độ 1.676m3</t>
        </is>
      </c>
      <c r="E13" s="18">
        <f>ROUND(12.515*0.5*2.038 + 1.676, 2)</f>
        <v/>
      </c>
      <c r="F13" s="12" t="inlineStr">
        <is>
          <t>Chắn đất đầu dầm</t>
        </is>
      </c>
    </row>
    <row r="14" ht="20" customHeight="1">
      <c r="A14" s="19" t="inlineStr">
        <is>
          <t>Σ</t>
        </is>
      </c>
      <c r="B14" s="20" t="inlineStr">
        <is>
          <t>TỔNG BÊ TÔNG TƯỜNG ĐỈNH 2 MỐ</t>
        </is>
      </c>
      <c r="C14" s="19" t="inlineStr">
        <is>
          <t>m3</t>
        </is>
      </c>
      <c r="D14" s="20" t="inlineStr">
        <is>
          <t>Tổng tường đỉnh M1 + M2</t>
        </is>
      </c>
      <c r="E14" s="22">
        <f>E12+E13</f>
        <v/>
      </c>
      <c r="F14" s="20" t="inlineStr">
        <is>
          <t>28.65 m3</t>
        </is>
      </c>
    </row>
    <row r="15" ht="20" customHeight="1">
      <c r="A15" s="11" t="inlineStr">
        <is>
          <t>7</t>
        </is>
      </c>
      <c r="B15" s="17" t="inlineStr">
        <is>
          <t>Tường cánh chữ U mố M1</t>
        </is>
      </c>
      <c r="C15" s="13" t="inlineStr">
        <is>
          <t>m3</t>
        </is>
      </c>
      <c r="D15" s="12" t="inlineStr">
        <is>
          <t>2 cánh trái phải mố M1</t>
        </is>
      </c>
      <c r="E15" s="18">
        <f>ROUND(2.5*0.5*1.507 + 0.5*2.5*2.5*0.5, 2)</f>
        <v/>
      </c>
      <c r="F15" s="12" t="inlineStr">
        <is>
          <t>Tường cánh chữ U</t>
        </is>
      </c>
    </row>
    <row r="16" ht="20" customHeight="1">
      <c r="A16" s="7" t="inlineStr">
        <is>
          <t>8</t>
        </is>
      </c>
      <c r="B16" s="15" t="inlineStr">
        <is>
          <t>Tường cánh chữ U mố M2</t>
        </is>
      </c>
      <c r="C16" s="9" t="inlineStr">
        <is>
          <t>m3</t>
        </is>
      </c>
      <c r="D16" s="8" t="inlineStr">
        <is>
          <t>2 cánh trái phải mố M2</t>
        </is>
      </c>
      <c r="E16" s="16">
        <f>ROUND(2*8.404, 2)</f>
        <v/>
      </c>
      <c r="F16" s="8" t="inlineStr">
        <is>
          <t>Tường cánh chữ U</t>
        </is>
      </c>
    </row>
    <row r="17" ht="20" customHeight="1">
      <c r="A17" s="19" t="inlineStr">
        <is>
          <t>Σ</t>
        </is>
      </c>
      <c r="B17" s="20" t="inlineStr">
        <is>
          <t>TỔNG BÊ TÔNG TƯỜNG CÁNH 2 MỐ</t>
        </is>
      </c>
      <c r="C17" s="19" t="inlineStr">
        <is>
          <t>m3</t>
        </is>
      </c>
      <c r="D17" s="20" t="inlineStr">
        <is>
          <t>Tổng tường cánh M1 + M2</t>
        </is>
      </c>
      <c r="E17" s="22">
        <f>E15+E16</f>
        <v/>
      </c>
      <c r="F17" s="20" t="inlineStr">
        <is>
          <t>20.25 m3</t>
        </is>
      </c>
    </row>
    <row r="18" ht="20" customHeight="1">
      <c r="A18" s="7" t="inlineStr">
        <is>
          <t>9</t>
        </is>
      </c>
      <c r="B18" s="15" t="inlineStr">
        <is>
          <t>Gờ lan can, ụ chống xô, tường tai mố</t>
        </is>
      </c>
      <c r="C18" s="9" t="inlineStr">
        <is>
          <t>m3</t>
        </is>
      </c>
      <c r="D18" s="8" t="inlineStr">
        <is>
          <t>Ụ chống động đất và chống xô ngang</t>
        </is>
      </c>
      <c r="E18" s="16">
        <f>ROUND(4.483+5.105, 2)</f>
        <v/>
      </c>
      <c r="F18" s="8" t="inlineStr">
        <is>
          <t>BTCT C30</t>
        </is>
      </c>
    </row>
    <row r="19" ht="22" customHeight="1">
      <c r="A19" s="4" t="inlineStr">
        <is>
          <t>II</t>
        </is>
      </c>
      <c r="B19" s="5" t="inlineStr">
        <is>
          <t>BÊ TÔNG ĐỆM &amp; VÁN KHUÔN MỐ</t>
        </is>
      </c>
      <c r="C19" s="4" t="n"/>
      <c r="D19" s="5" t="n"/>
      <c r="E19" s="6" t="n"/>
      <c r="F19" s="5" t="n"/>
    </row>
    <row r="20" ht="20" customHeight="1">
      <c r="A20" s="7" t="inlineStr">
        <is>
          <t>10</t>
        </is>
      </c>
      <c r="B20" s="15" t="inlineStr">
        <is>
          <t>Bê tông đệm bệ mố M1 (C10/12)</t>
        </is>
      </c>
      <c r="C20" s="9" t="inlineStr">
        <is>
          <t>m3</t>
        </is>
      </c>
      <c r="D20" s="8" t="inlineStr">
        <is>
          <t>12.715m x 2.20m x 0.10m - 3 cọc x (pi x 0.6^2 x 0.10m)</t>
        </is>
      </c>
      <c r="E20" s="16">
        <f>ROUND(12.715*2.2*0.1 - 3*PI()*0.6^2*0.1, 2)</f>
        <v/>
      </c>
      <c r="F20" s="8" t="inlineStr">
        <is>
          <t>Đệm đá 1x2 dày 100mm</t>
        </is>
      </c>
    </row>
    <row r="21" ht="20" customHeight="1">
      <c r="A21" s="11" t="inlineStr">
        <is>
          <t>11</t>
        </is>
      </c>
      <c r="B21" s="17" t="inlineStr">
        <is>
          <t>Bê tông đệm bệ mố M2 (C10/12)</t>
        </is>
      </c>
      <c r="C21" s="13" t="inlineStr">
        <is>
          <t>m3</t>
        </is>
      </c>
      <c r="D21" s="12" t="inlineStr">
        <is>
          <t>12.715m x 6.20m x 0.10m - 7 cọc x (pi x 0.6^2 x 0.10m)</t>
        </is>
      </c>
      <c r="E21" s="18">
        <f>ROUND(12.715*6.2*0.1 - 7*PI()*0.6^2*0.1, 2)</f>
        <v/>
      </c>
      <c r="F21" s="12" t="inlineStr">
        <is>
          <t>Đệm đá 1x2 dày 100mm</t>
        </is>
      </c>
    </row>
    <row r="22" ht="20" customHeight="1">
      <c r="A22" s="19" t="inlineStr">
        <is>
          <t>Σ</t>
        </is>
      </c>
      <c r="B22" s="20" t="inlineStr">
        <is>
          <t>TỔNG BÊ TÔNG ĐỆM 2 MỐ C10</t>
        </is>
      </c>
      <c r="C22" s="19" t="inlineStr">
        <is>
          <t>m3</t>
        </is>
      </c>
      <c r="D22" s="20" t="inlineStr">
        <is>
          <t>Tổng bê tông lót móng mố</t>
        </is>
      </c>
      <c r="E22" s="22">
        <f>E20+E21</f>
        <v/>
      </c>
      <c r="F22" s="20" t="inlineStr">
        <is>
          <t>9.55 m3</t>
        </is>
      </c>
    </row>
    <row r="23" ht="20" customHeight="1">
      <c r="A23" s="11" t="inlineStr">
        <is>
          <t>12</t>
        </is>
      </c>
      <c r="B23" s="17" t="inlineStr">
        <is>
          <t>Ván khuôn mố M1, M2</t>
        </is>
      </c>
      <c r="C23" s="13" t="inlineStr">
        <is>
          <t>m2</t>
        </is>
      </c>
      <c r="D23" s="12" t="inlineStr">
        <is>
          <t>Ván khuôn bệ, thân, tường đỉnh, cánh</t>
        </is>
      </c>
      <c r="E23" s="18">
        <f>ROUND(129.763+360.615, 2)</f>
        <v/>
      </c>
      <c r="F23" s="12" t="inlineStr">
        <is>
          <t>Ván khuôn thép phẳng</t>
        </is>
      </c>
    </row>
    <row r="24" ht="22" customHeight="1">
      <c r="A24" s="4" t="inlineStr">
        <is>
          <t>III</t>
        </is>
      </c>
      <c r="B24" s="5" t="inlineStr">
        <is>
          <t>CỐT THÉP MỐ M1 &amp; M2 (BBS CHI TIẾT)</t>
        </is>
      </c>
      <c r="C24" s="4" t="n"/>
      <c r="D24" s="5" t="n"/>
      <c r="E24" s="6" t="n"/>
      <c r="F24" s="5" t="n"/>
    </row>
    <row r="25" ht="20" customHeight="1">
      <c r="A25" s="11" t="inlineStr">
        <is>
          <t>13</t>
        </is>
      </c>
      <c r="B25" s="17" t="inlineStr">
        <is>
          <t>Cốt thép D&lt;=10mm (Thép cấu tạo)</t>
        </is>
      </c>
      <c r="C25" s="13" t="inlineStr">
        <is>
          <t>kg</t>
        </is>
      </c>
      <c r="D25" s="12" t="inlineStr">
        <is>
          <t>Thanh H2 kê gối, thép móc đai</t>
        </is>
      </c>
      <c r="E25" s="18">
        <f>ROUND(2*44.333, 2)</f>
        <v/>
      </c>
      <c r="F25" s="12" t="inlineStr">
        <is>
          <t>0.09 Tấn</t>
        </is>
      </c>
    </row>
    <row r="26" ht="20" customHeight="1">
      <c r="A26" s="7" t="inlineStr">
        <is>
          <t>14</t>
        </is>
      </c>
      <c r="B26" s="15" t="inlineStr">
        <is>
          <t>Cốt thép 10&lt;D&lt;=18mm (F2..F8, A2..A5, P1..P4, W1..W3)</t>
        </is>
      </c>
      <c r="C26" s="9" t="inlineStr">
        <is>
          <t>kg</t>
        </is>
      </c>
      <c r="D26" s="8" t="inlineStr">
        <is>
          <t>Thép đai bệ, đai thân, thép cánh</t>
        </is>
      </c>
      <c r="E26" s="16">
        <f>ROUND(5828.41+11918.02, 2)</f>
        <v/>
      </c>
      <c r="F26" s="8" t="inlineStr">
        <is>
          <t>17.75 Tấn</t>
        </is>
      </c>
    </row>
    <row r="27" ht="20" customHeight="1">
      <c r="A27" s="11" t="inlineStr">
        <is>
          <t>15</t>
        </is>
      </c>
      <c r="B27" s="17" t="inlineStr">
        <is>
          <t>Cốt thép D&gt;18mm (F1, A1, W2..)</t>
        </is>
      </c>
      <c r="C27" s="13" t="inlineStr">
        <is>
          <t>kg</t>
        </is>
      </c>
      <c r="D27" s="12" t="inlineStr">
        <is>
          <t>Thép chủ bệ D28, thép thân D22</t>
        </is>
      </c>
      <c r="E27" s="18">
        <f>ROUND(2085.82+7686.38, 2)</f>
        <v/>
      </c>
      <c r="F27" s="12" t="inlineStr">
        <is>
          <t>9.77 Tấn</t>
        </is>
      </c>
    </row>
    <row r="28" ht="20" customHeight="1">
      <c r="A28" s="19" t="inlineStr">
        <is>
          <t>Σ</t>
        </is>
      </c>
      <c r="B28" s="20" t="inlineStr">
        <is>
          <t>TỔNG CỐT THÉP 2 MỐ M1 + M2</t>
        </is>
      </c>
      <c r="C28" s="19" t="inlineStr">
        <is>
          <t>kg</t>
        </is>
      </c>
      <c r="D28" s="20" t="inlineStr">
        <is>
          <t>Tổng thép thanh mố</t>
        </is>
      </c>
      <c r="E28" s="22">
        <f>SUM(E25:E27)</f>
        <v/>
      </c>
      <c r="F28" s="20" t="inlineStr">
        <is>
          <t>27.61 Tấn</t>
        </is>
      </c>
    </row>
    <row r="29" ht="22" customHeight="1">
      <c r="A29" s="4" t="inlineStr">
        <is>
          <t>IV</t>
        </is>
      </c>
      <c r="B29" s="5" t="inlineStr">
        <is>
          <t>VẬT TƯ PHỤ TRỢ &amp; CHỐNG THẤM MỐ</t>
        </is>
      </c>
      <c r="C29" s="4" t="n"/>
      <c r="D29" s="5" t="n"/>
      <c r="E29" s="6" t="n"/>
      <c r="F29" s="5" t="n"/>
    </row>
    <row r="30" ht="20" customHeight="1">
      <c r="A30" s="7" t="inlineStr">
        <is>
          <t>16</t>
        </is>
      </c>
      <c r="B30" s="15" t="inlineStr">
        <is>
          <t>Quét bitum 2 lớp mặt sau mố</t>
        </is>
      </c>
      <c r="C30" s="9" t="inlineStr">
        <is>
          <t>m2</t>
        </is>
      </c>
      <c r="D30" s="8" t="inlineStr">
        <is>
          <t>Chống thấm mặt tiếp xúc đất</t>
        </is>
      </c>
      <c r="E30" s="16">
        <f>ROUND(63.097+255.18, 2)</f>
        <v/>
      </c>
      <c r="F30" s="8" t="inlineStr">
        <is>
          <t>Nhựa đường bitum</t>
        </is>
      </c>
    </row>
    <row r="31" ht="20" customHeight="1">
      <c r="A31" s="11" t="inlineStr">
        <is>
          <t>17</t>
        </is>
      </c>
      <c r="B31" s="17" t="inlineStr">
        <is>
          <t>Đá hộc xếp khan thoát nước sau mố</t>
        </is>
      </c>
      <c r="C31" s="13" t="inlineStr">
        <is>
          <t>m3</t>
        </is>
      </c>
      <c r="D31" s="12" t="inlineStr">
        <is>
          <t>Tầng thoát nước lưng mố</t>
        </is>
      </c>
      <c r="E31" s="18">
        <f>ROUND(1*5.46, 2)</f>
        <v/>
      </c>
      <c r="F31" s="12" t="inlineStr">
        <is>
          <t>Đá hộc 15-25cm</t>
        </is>
      </c>
    </row>
    <row r="32" ht="20" customHeight="1">
      <c r="A32" s="7" t="inlineStr">
        <is>
          <t>18</t>
        </is>
      </c>
      <c r="B32" s="15" t="inlineStr">
        <is>
          <t>Vải địa kỹ thuật lọc nước lưng mố</t>
        </is>
      </c>
      <c r="C32" s="9" t="inlineStr">
        <is>
          <t>m2</t>
        </is>
      </c>
      <c r="D32" s="8" t="inlineStr">
        <is>
          <t>Bọc quanh lớp đá hộc xếp khan</t>
        </is>
      </c>
      <c r="E32" s="16">
        <f>ROUND(2.132+32.884, 2)</f>
        <v/>
      </c>
      <c r="F32" s="8" t="inlineStr">
        <is>
          <t>Loại không dệt</t>
        </is>
      </c>
    </row>
    <row r="33" ht="20" customHeight="1">
      <c r="A33" s="11" t="inlineStr">
        <is>
          <t>19</t>
        </is>
      </c>
      <c r="B33" s="17" t="inlineStr">
        <is>
          <t>Ống PVC D60/D125/D315 thoát nước</t>
        </is>
      </c>
      <c r="C33" s="13" t="inlineStr">
        <is>
          <t>m</t>
        </is>
      </c>
      <c r="D33" s="12" t="inlineStr">
        <is>
          <t>Ống thoát ngầm qua thân mố</t>
        </is>
      </c>
      <c r="E33" s="18">
        <f>ROUND(9+15.915+17.6, 2)</f>
        <v/>
      </c>
      <c r="F33" s="12" t="inlineStr">
        <is>
          <t>Ống nhựa cứng uPVC</t>
        </is>
      </c>
    </row>
    <row r="34" ht="20" customHeight="1">
      <c r="A34" s="7" t="inlineStr">
        <is>
          <t>20</t>
        </is>
      </c>
      <c r="B34" s="15" t="inlineStr">
        <is>
          <t>Chốt thép D32 mạ kẽm (L=650mm)</t>
        </is>
      </c>
      <c r="C34" s="9" t="inlineStr">
        <is>
          <t>kg</t>
        </is>
      </c>
      <c r="D34" s="8" t="inlineStr">
        <is>
          <t>Chốt liên kết bản quá độ</t>
        </is>
      </c>
      <c r="E34" s="16">
        <f>ROUND(53.269+79.903, 2)</f>
        <v/>
      </c>
      <c r="F34" s="8" t="inlineStr">
        <is>
          <t>Thép CIII mạ kẽm</t>
        </is>
      </c>
    </row>
    <row r="35" ht="20" customHeight="1">
      <c r="A35" s="11" t="inlineStr">
        <is>
          <t>21</t>
        </is>
      </c>
      <c r="B35" s="17" t="inlineStr">
        <is>
          <t>Hộp chốt mạ kẽm</t>
        </is>
      </c>
      <c r="C35" s="13" t="inlineStr">
        <is>
          <t>kg</t>
        </is>
      </c>
      <c r="D35" s="12" t="inlineStr">
        <is>
          <t>Hộp định vị chốt</t>
        </is>
      </c>
      <c r="E35" s="18">
        <f>ROUND(2*9.214, 2)</f>
        <v/>
      </c>
      <c r="F35" s="12" t="inlineStr">
        <is>
          <t>Thép tấm dập hộp</t>
        </is>
      </c>
    </row>
    <row r="36" ht="20" customHeight="1">
      <c r="A36" s="7" t="inlineStr">
        <is>
          <t>22</t>
        </is>
      </c>
      <c r="B36" s="15" t="inlineStr">
        <is>
          <t>Vữa không co ngót đệm gối mố C40</t>
        </is>
      </c>
      <c r="C36" s="9" t="inlineStr">
        <is>
          <t>m3</t>
        </is>
      </c>
      <c r="D36" s="8" t="inlineStr">
        <is>
          <t>Dưới thớt kê gối cầu</t>
        </is>
      </c>
      <c r="E36" s="16">
        <f>ROUND(0.10716+0.05834, 3)</f>
        <v/>
      </c>
      <c r="F36" s="8" t="inlineStr">
        <is>
          <t>Vữa SikaGrout 214-11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4"/>
  <cols>
    <col width="10" customWidth="1" min="1" max="1"/>
    <col width="42" customWidth="1" min="2" max="2"/>
    <col width="10" customWidth="1" min="3" max="3"/>
    <col width="50" customWidth="1" min="4" max="4"/>
    <col width="16" customWidth="1" min="5" max="5"/>
    <col width="25" customWidth="1" min="6" max="6"/>
  </cols>
  <sheetData>
    <row r="1" ht="20" customHeight="1">
      <c r="A1" s="1" t="inlineStr">
        <is>
          <t>BÓC TÁCH CHI TIẾT HÌNH HỌC TRỤ T1 VÀ TRỤ T2 (CẦU KM19+529.08)</t>
        </is>
      </c>
    </row>
    <row r="2" ht="14.5" customHeight="1">
      <c r="A2" s="2" t="inlineStr">
        <is>
          <t>Bao gồm: Bệ trụ hộp chữ nhật (11.60x8.00x2.00m), Thân trụ đặc 3 đốt vát bậc đầu tròn (B1=3.5m), Xà mũ consol</t>
        </is>
      </c>
    </row>
    <row r="4" ht="28" customHeight="1">
      <c r="A4" s="37" t="inlineStr">
        <is>
          <t>STT</t>
        </is>
      </c>
      <c r="B4" s="37" t="inlineStr">
        <is>
          <t>Bộ phận kết cấu trụ</t>
        </is>
      </c>
      <c r="C4" s="37" t="inlineStr">
        <is>
          <t>ĐVT</t>
        </is>
      </c>
      <c r="D4" s="37" t="inlineStr">
        <is>
          <t>Kích thước hình học &amp; Diễn giải CAD</t>
        </is>
      </c>
      <c r="E4" s="37" t="inlineStr">
        <is>
          <t>Trụ T1 (Bờ Nam)</t>
        </is>
      </c>
      <c r="F4" s="37" t="inlineStr">
        <is>
          <t>Trụ T2 (Lòng sông)</t>
        </is>
      </c>
      <c r="G4" s="37" t="inlineStr">
        <is>
          <t>Chênh lệch (T2 - T1)</t>
        </is>
      </c>
      <c r="H4" s="37" t="inlineStr">
        <is>
          <t>TỔNG CỘNG (T1 + T2)</t>
        </is>
      </c>
      <c r="I4" s="37" t="inlineStr">
        <is>
          <t>Ghi chú kỹ thuật CAD</t>
        </is>
      </c>
    </row>
    <row r="5" ht="22" customHeight="1">
      <c r="A5" s="38" t="inlineStr">
        <is>
          <t>I</t>
        </is>
      </c>
      <c r="B5" s="39" t="inlineStr">
        <is>
          <t>BÊ TÔNG TRỤ T1 &amp; T2 (C30/38)</t>
        </is>
      </c>
      <c r="C5" s="38" t="n"/>
      <c r="D5" s="39" t="n"/>
      <c r="E5" s="40" t="n"/>
      <c r="F5" s="39" t="n"/>
      <c r="G5" s="41" t="n"/>
      <c r="H5" s="41" t="n"/>
      <c r="I5" s="41" t="n"/>
    </row>
    <row r="6" ht="20" customHeight="1">
      <c r="A6" s="42" t="inlineStr">
        <is>
          <t>1</t>
        </is>
      </c>
      <c r="B6" s="43" t="inlineStr">
        <is>
          <t>Bệ trụ T1 (8 cọc D1200)</t>
        </is>
      </c>
      <c r="C6" s="44" t="inlineStr">
        <is>
          <t>m3</t>
        </is>
      </c>
      <c r="D6" s="45" t="inlineStr">
        <is>
          <t>11.60m x 8.00m x 2.00m - 8 cọc x pi x 0.6^2 x 0.15m</t>
        </is>
      </c>
      <c r="E6" s="46">
        <f>ROUND(11.6*8*2 - 8*PI()*0.6^2*0.15, 2)</f>
        <v/>
      </c>
      <c r="F6" s="46">
        <f>0</f>
        <v/>
      </c>
      <c r="G6" s="47">
        <f>F6-E6</f>
        <v/>
      </c>
      <c r="H6" s="47">
        <f>E6</f>
        <v/>
      </c>
      <c r="I6" s="41" t="inlineStr">
        <is>
          <t>Bệ móng bờ Nam</t>
        </is>
      </c>
    </row>
    <row r="7" ht="20" customHeight="1">
      <c r="A7" s="48" t="inlineStr">
        <is>
          <t>2</t>
        </is>
      </c>
      <c r="B7" s="49" t="inlineStr">
        <is>
          <t>Bệ trụ T2 (8 cọc D1200)</t>
        </is>
      </c>
      <c r="C7" s="50" t="inlineStr">
        <is>
          <t>m3</t>
        </is>
      </c>
      <c r="D7" s="51" t="inlineStr">
        <is>
          <t>11.60m x 8.00m x 2.00m - 8 cọc x pi x 0.6^2 x 0.15m</t>
        </is>
      </c>
      <c r="E7" s="52">
        <f>0</f>
        <v/>
      </c>
      <c r="F7" s="52">
        <f>ROUND(11.6*8*2 - 8*PI()*0.6^2*0.15, 2)</f>
        <v/>
      </c>
      <c r="G7" s="47">
        <f>F7-E7</f>
        <v/>
      </c>
      <c r="H7" s="47">
        <f>F7</f>
        <v/>
      </c>
      <c r="I7" s="41" t="inlineStr">
        <is>
          <t>Bệ móng lòng sông</t>
        </is>
      </c>
    </row>
    <row r="8" ht="20" customHeight="1">
      <c r="A8" s="53" t="inlineStr">
        <is>
          <t>Σ</t>
        </is>
      </c>
      <c r="B8" s="54" t="inlineStr">
        <is>
          <t>TỔNG BÊ TÔNG 2 BỆ TRỤ C30</t>
        </is>
      </c>
      <c r="C8" s="53" t="inlineStr">
        <is>
          <t>m3</t>
        </is>
      </c>
      <c r="D8" s="54" t="inlineStr">
        <is>
          <t>Tổng bệ trụ T1 + T2</t>
        </is>
      </c>
      <c r="E8" s="55">
        <f>E6+E7</f>
        <v/>
      </c>
      <c r="F8" s="55">
        <f>F6+F7</f>
        <v/>
      </c>
      <c r="G8" s="47">
        <f>F8-E8</f>
        <v/>
      </c>
      <c r="H8" s="47">
        <f>E6+F7</f>
        <v/>
      </c>
      <c r="I8" s="41" t="inlineStr">
        <is>
          <t>Khớp BoQ 368.49 m3</t>
        </is>
      </c>
    </row>
    <row r="9" ht="20" customHeight="1">
      <c r="A9" s="48" t="inlineStr">
        <is>
          <t>3</t>
        </is>
      </c>
      <c r="B9" s="49" t="inlineStr">
        <is>
          <t>Thân trụ T1 đặc 3 đốt vát bậc (H=23.65m)</t>
        </is>
      </c>
      <c r="C9" s="50" t="inlineStr">
        <is>
          <t>m3</t>
        </is>
      </c>
      <c r="D9" s="51" t="inlineStr">
        <is>
          <t>Đốt 1 (MC a-a: 68.07m3) + Đốt 2 (MC b-b: 104.89m3) + Đốt 3 (H_c=3.65m: 55.39m3) + 2 vát</t>
        </is>
      </c>
      <c r="E9" s="52">
        <f>ROUND(68.066+2.675+104.892+3.898+55.391, 2)</f>
        <v/>
      </c>
      <c r="F9" s="52">
        <f>0</f>
        <v/>
      </c>
      <c r="G9" s="47">
        <f>F9-E9</f>
        <v/>
      </c>
      <c r="H9" s="47">
        <f>E9</f>
        <v/>
      </c>
      <c r="I9" s="41" t="inlineStr">
        <is>
          <t>Trụ T1 bờ Nam (Đốt chân H_c=3.65m)</t>
        </is>
      </c>
    </row>
    <row r="10" ht="20" customHeight="1">
      <c r="A10" s="42" t="inlineStr">
        <is>
          <t>4</t>
        </is>
      </c>
      <c r="B10" s="43" t="inlineStr">
        <is>
          <t>Thân trụ T2 đặc 3 đốt vát bậc (H=25.75m)</t>
        </is>
      </c>
      <c r="C10" s="44" t="inlineStr">
        <is>
          <t>m3</t>
        </is>
      </c>
      <c r="D10" s="45" t="inlineStr">
        <is>
          <t>Đốt 1 (MC a-a: 68.07m3) + Đốt 2 (MC b-b: 104.89m3) + Đốt 3 (H_c=5.75m: 87.26m3) + 2 vát</t>
        </is>
      </c>
      <c r="E10" s="46">
        <f>0</f>
        <v/>
      </c>
      <c r="F10" s="46">
        <f>ROUND(68.066+2.675+104.892+3.898+87.259, 2)</f>
        <v/>
      </c>
      <c r="G10" s="47">
        <f>F10-E10</f>
        <v/>
      </c>
      <c r="H10" s="47">
        <f>F10</f>
        <v/>
      </c>
      <c r="I10" s="41" t="inlineStr">
        <is>
          <t>Trụ T2 lòng sông (Đốt chân H_c=5.75m, cao hơn 2.10m)</t>
        </is>
      </c>
    </row>
    <row r="11" ht="20" customHeight="1">
      <c r="A11" s="53" t="inlineStr">
        <is>
          <t>Σ</t>
        </is>
      </c>
      <c r="B11" s="54" t="inlineStr">
        <is>
          <t>TỔNG BÊ TÔNG THÂN TRỤ T1 + T2</t>
        </is>
      </c>
      <c r="C11" s="53" t="inlineStr">
        <is>
          <t>m3</t>
        </is>
      </c>
      <c r="D11" s="54" t="inlineStr">
        <is>
          <t>Tổng thân trụ đặc 3 đốt vát bậc T1 + T2</t>
        </is>
      </c>
      <c r="E11" s="55">
        <f>E9+E10</f>
        <v/>
      </c>
      <c r="F11" s="55">
        <f>F9+F10</f>
        <v/>
      </c>
      <c r="G11" s="47">
        <f>F11-E11</f>
        <v/>
      </c>
      <c r="H11" s="47">
        <f>E9+F10</f>
        <v/>
      </c>
      <c r="I11" s="41" t="inlineStr">
        <is>
          <t>Khớp BoQ 501.71 m3</t>
        </is>
      </c>
    </row>
    <row r="12" ht="20" customHeight="1">
      <c r="A12" s="42" t="inlineStr">
        <is>
          <t>5</t>
        </is>
      </c>
      <c r="B12" s="43" t="inlineStr">
        <is>
          <t>Xà mũ trụ T1 (L=11.6m)</t>
        </is>
      </c>
      <c r="C12" s="44" t="inlineStr">
        <is>
          <t>m3</t>
        </is>
      </c>
      <c r="D12" s="45" t="inlineStr">
        <is>
          <t>Xà mũ di động 11.6m x 2.1m x 1.6m + 2 đầu consol</t>
        </is>
      </c>
      <c r="E12" s="46">
        <f>ROUND((104.905+32.352+1.632+6.138)/2, 2)</f>
        <v/>
      </c>
      <c r="F12" s="46">
        <f>0</f>
        <v/>
      </c>
      <c r="G12" s="47">
        <f>F12-E12</f>
        <v/>
      </c>
      <c r="H12" s="47">
        <f>E12</f>
        <v/>
      </c>
      <c r="I12" s="41" t="inlineStr">
        <is>
          <t>Xà mũ di động bờ Nam</t>
        </is>
      </c>
    </row>
    <row r="13" ht="20" customHeight="1">
      <c r="A13" s="48" t="inlineStr">
        <is>
          <t>6</t>
        </is>
      </c>
      <c r="B13" s="49" t="inlineStr">
        <is>
          <t>Xà mũ trụ T2 (L=11.6m)</t>
        </is>
      </c>
      <c r="C13" s="50" t="inlineStr">
        <is>
          <t>m3</t>
        </is>
      </c>
      <c r="D13" s="51" t="inlineStr">
        <is>
          <t>Xà mũ cố định 11.6m x 2.1m x 1.6m + 2 đầu consol</t>
        </is>
      </c>
      <c r="E13" s="52">
        <f>0</f>
        <v/>
      </c>
      <c r="F13" s="52">
        <f>ROUND((104.905+32.352+1.632+6.138)/2, 2)</f>
        <v/>
      </c>
      <c r="G13" s="47">
        <f>F13-E13</f>
        <v/>
      </c>
      <c r="H13" s="47">
        <f>F13</f>
        <v/>
      </c>
      <c r="I13" s="41" t="inlineStr">
        <is>
          <t>Xà mũ cố định lòng sông</t>
        </is>
      </c>
    </row>
    <row r="14" ht="20" customHeight="1">
      <c r="A14" s="53" t="inlineStr">
        <is>
          <t>Σ</t>
        </is>
      </c>
      <c r="B14" s="54" t="inlineStr">
        <is>
          <t>TỔNG BÊ TÔNG XÀ MŨ 2 TRỤ</t>
        </is>
      </c>
      <c r="C14" s="53" t="inlineStr">
        <is>
          <t>m3</t>
        </is>
      </c>
      <c r="D14" s="54" t="inlineStr">
        <is>
          <t>Tổng 2 xà mũ trụ</t>
        </is>
      </c>
      <c r="E14" s="55">
        <f>E12+E13</f>
        <v/>
      </c>
      <c r="F14" s="55">
        <f>F12+F13</f>
        <v/>
      </c>
      <c r="G14" s="47">
        <f>F14-E14</f>
        <v/>
      </c>
      <c r="H14" s="47">
        <f>E12+F13</f>
        <v/>
      </c>
      <c r="I14" s="41" t="inlineStr">
        <is>
          <t>Khớp BoQ 145.03 m3</t>
        </is>
      </c>
    </row>
    <row r="15" ht="22" customHeight="1">
      <c r="A15" s="38" t="inlineStr">
        <is>
          <t>II</t>
        </is>
      </c>
      <c r="B15" s="39" t="inlineStr">
        <is>
          <t>BÊ TÔNG ĐỆM &amp; VÁN KHUÔN TRỤ</t>
        </is>
      </c>
      <c r="C15" s="38" t="n"/>
      <c r="D15" s="39" t="n"/>
      <c r="E15" s="40" t="n"/>
      <c r="F15" s="39" t="n"/>
      <c r="G15" s="41" t="n"/>
      <c r="H15" s="41" t="n"/>
      <c r="I15" s="41" t="n"/>
    </row>
    <row r="16" ht="20" customHeight="1">
      <c r="A16" s="42" t="inlineStr">
        <is>
          <t>7</t>
        </is>
      </c>
      <c r="B16" s="43" t="inlineStr">
        <is>
          <t>Bê tông đệm bệ trụ T1 (C10/12)</t>
        </is>
      </c>
      <c r="C16" s="44" t="inlineStr">
        <is>
          <t>m3</t>
        </is>
      </c>
      <c r="D16" s="45" t="inlineStr">
        <is>
          <t>11.80m x 8.20m x 0.10m - 8 cọc x pi x 0.6^2 x 0.10m</t>
        </is>
      </c>
      <c r="E16" s="46">
        <f>ROUND(11.8*8.2*0.1 - 8*PI()*0.6^2*0.1, 2)</f>
        <v/>
      </c>
      <c r="F16" s="46">
        <f>0</f>
        <v/>
      </c>
      <c r="G16" s="47">
        <f>F16-E16</f>
        <v/>
      </c>
      <c r="H16" s="47">
        <f>E16</f>
        <v/>
      </c>
      <c r="I16" s="41" t="inlineStr">
        <is>
          <t>Lót móng dày 100mm T1</t>
        </is>
      </c>
    </row>
    <row r="17" ht="20" customHeight="1">
      <c r="A17" s="48" t="inlineStr">
        <is>
          <t>8</t>
        </is>
      </c>
      <c r="B17" s="49" t="inlineStr">
        <is>
          <t>Bê tông đệm bệ trụ T2 (C10/12)</t>
        </is>
      </c>
      <c r="C17" s="50" t="inlineStr">
        <is>
          <t>m3</t>
        </is>
      </c>
      <c r="D17" s="51" t="inlineStr">
        <is>
          <t>11.80m x 8.20m x 0.10m - 8 cọc x pi x 0.6^2 x 0.10m</t>
        </is>
      </c>
      <c r="E17" s="52">
        <f>0</f>
        <v/>
      </c>
      <c r="F17" s="52">
        <f>ROUND(11.8*8.2*0.1 - 8*PI()*0.6^2*0.1, 2)</f>
        <v/>
      </c>
      <c r="G17" s="47">
        <f>F17-E17</f>
        <v/>
      </c>
      <c r="H17" s="47">
        <f>F17</f>
        <v/>
      </c>
      <c r="I17" s="41" t="inlineStr">
        <is>
          <t>Lót móng dày 100mm T2</t>
        </is>
      </c>
    </row>
    <row r="18" ht="20" customHeight="1">
      <c r="A18" s="53" t="inlineStr">
        <is>
          <t>Σ</t>
        </is>
      </c>
      <c r="B18" s="54" t="inlineStr">
        <is>
          <t>TỔNG BÊ TÔNG ĐỆM 2 TRỤ C10</t>
        </is>
      </c>
      <c r="C18" s="53" t="inlineStr">
        <is>
          <t>m3</t>
        </is>
      </c>
      <c r="D18" s="54" t="inlineStr">
        <is>
          <t>Tổng đệm trụ T1 + T2</t>
        </is>
      </c>
      <c r="E18" s="55">
        <f>E16+E17</f>
        <v/>
      </c>
      <c r="F18" s="55">
        <f>F16+F17</f>
        <v/>
      </c>
      <c r="G18" s="47">
        <f>F18-E18</f>
        <v/>
      </c>
      <c r="H18" s="47">
        <f>E16+F17</f>
        <v/>
      </c>
      <c r="I18" s="41" t="inlineStr">
        <is>
          <t>Khớp BoQ 17.54 m3</t>
        </is>
      </c>
    </row>
    <row r="19" ht="20" customHeight="1">
      <c r="A19" s="48" t="inlineStr">
        <is>
          <t>9</t>
        </is>
      </c>
      <c r="B19" s="49" t="inlineStr">
        <is>
          <t>Ván khuôn bệ trụ T1, T2</t>
        </is>
      </c>
      <c r="C19" s="50" t="inlineStr">
        <is>
          <t>m2</t>
        </is>
      </c>
      <c r="D19" s="51" t="inlineStr">
        <is>
          <t>Chu vi bệ x chiều cao: 2 x (11.60 + 8.00) x 2.00m</t>
        </is>
      </c>
      <c r="E19" s="52">
        <f>2*(11.6+8)*2</f>
        <v/>
      </c>
      <c r="F19" s="52">
        <f>2*(11.6+8)*2</f>
        <v/>
      </c>
      <c r="G19" s="47">
        <f>F19-E19</f>
        <v/>
      </c>
      <c r="H19" s="47">
        <f>E19+F19</f>
        <v/>
      </c>
      <c r="I19" s="41" t="inlineStr">
        <is>
          <t>Ván khuôn thép bệ</t>
        </is>
      </c>
    </row>
    <row r="20" ht="20" customHeight="1">
      <c r="A20" s="42" t="inlineStr">
        <is>
          <t>10</t>
        </is>
      </c>
      <c r="B20" s="43" t="inlineStr">
        <is>
          <t>Ván khuôn thân trụ đặc 3 đốt vát bậc</t>
        </is>
      </c>
      <c r="C20" s="44" t="inlineStr">
        <is>
          <t>m2</t>
        </is>
      </c>
      <c r="D20" s="45" t="inlineStr">
        <is>
          <t>Chu vi P1*10m + P2*10m + P3*H_c (P = 2*3.5 + 2*pi*R)</t>
        </is>
      </c>
      <c r="E20" s="46">
        <f>ROUND(117.124+135.973+56.510, 2)</f>
        <v/>
      </c>
      <c r="F20" s="46">
        <f>ROUND(117.124+135.973+89.023, 2)</f>
        <v/>
      </c>
      <c r="G20" s="47">
        <f>F20-E20</f>
        <v/>
      </c>
      <c r="H20" s="47">
        <f>E20+F20</f>
        <v/>
      </c>
      <c r="I20" s="41" t="inlineStr">
        <is>
          <t>T2 diện tích ván khuôn lớn hơn T1 32.51 m2</t>
        </is>
      </c>
    </row>
    <row r="21" ht="20" customHeight="1">
      <c r="A21" s="48" t="inlineStr">
        <is>
          <t>11</t>
        </is>
      </c>
      <c r="B21" s="49" t="inlineStr">
        <is>
          <t>Ván khuôn xà mũ trụ T1, T2</t>
        </is>
      </c>
      <c r="C21" s="50" t="inlineStr">
        <is>
          <t>m2</t>
        </is>
      </c>
      <c r="D21" s="51" t="inlineStr">
        <is>
          <t>Đáy consol, thành bên xà mũ, đầu vát</t>
        </is>
      </c>
      <c r="E21" s="52">
        <f>ROUND(254.979/2, 2)</f>
        <v/>
      </c>
      <c r="F21" s="52">
        <f>ROUND(254.979/2, 2)</f>
        <v/>
      </c>
      <c r="G21" s="47">
        <f>F21-E21</f>
        <v/>
      </c>
      <c r="H21" s="47">
        <f>E21+F21</f>
        <v/>
      </c>
      <c r="I21" s="41" t="inlineStr">
        <is>
          <t>Hệ đà giáo treo xà mũ</t>
        </is>
      </c>
    </row>
    <row r="22" ht="22" customHeight="1">
      <c r="A22" s="38" t="inlineStr">
        <is>
          <t>III</t>
        </is>
      </c>
      <c r="B22" s="39" t="inlineStr">
        <is>
          <t>CỐT THÉP TRỤ T1 &amp; T2 (BBS CHI TIẾT)</t>
        </is>
      </c>
      <c r="C22" s="38" t="n"/>
      <c r="D22" s="39" t="n"/>
      <c r="E22" s="40" t="n"/>
      <c r="F22" s="39" t="n"/>
      <c r="G22" s="41" t="n"/>
      <c r="H22" s="41" t="n"/>
      <c r="I22" s="41" t="n"/>
    </row>
    <row r="23" ht="20" customHeight="1">
      <c r="A23" s="48" t="inlineStr">
        <is>
          <t>12</t>
        </is>
      </c>
      <c r="B23" s="49" t="inlineStr">
        <is>
          <t>Cốt thép bệ trụ B1..B8</t>
        </is>
      </c>
      <c r="C23" s="50" t="inlineStr">
        <is>
          <t>kg</t>
        </is>
      </c>
      <c r="D23" s="51" t="inlineStr">
        <is>
          <t>Thép chủ bệ D28, đai bệ D16/D18</t>
        </is>
      </c>
      <c r="E23" s="52">
        <f>ROUND(5340.73+10837.10, 2)</f>
        <v/>
      </c>
      <c r="F23" s="52">
        <f>ROUND(5340.73+10837.10, 2)</f>
        <v/>
      </c>
      <c r="G23" s="47">
        <f>F23-E23</f>
        <v/>
      </c>
      <c r="H23" s="47">
        <f>E23+F23</f>
        <v/>
      </c>
      <c r="I23" s="41" t="inlineStr">
        <is>
          <t>32.36 Tấn (2 bệ giống nhau)</t>
        </is>
      </c>
    </row>
    <row r="24" ht="20" customHeight="1">
      <c r="A24" s="42" t="inlineStr">
        <is>
          <t>13</t>
        </is>
      </c>
      <c r="B24" s="43" t="inlineStr">
        <is>
          <t>Cốt thép thân trụ T1..T4</t>
        </is>
      </c>
      <c r="C24" s="44" t="inlineStr">
        <is>
          <t>kg</t>
        </is>
      </c>
      <c r="D24" s="45" t="inlineStr">
        <is>
          <t>Thép chủ D32 (T1c L=6.56m vs 8.66m), đai tròn D16</t>
        </is>
      </c>
      <c r="E24" s="46">
        <f>ROUND(10308.40+22250.12, 2)</f>
        <v/>
      </c>
      <c r="F24" s="46">
        <f>ROUND(11320.11+23866.74, 2)</f>
        <v/>
      </c>
      <c r="G24" s="47">
        <f>F24-E24</f>
        <v/>
      </c>
      <c r="H24" s="47">
        <f>E24+F24</f>
        <v/>
      </c>
      <c r="I24" s="41" t="inlineStr">
        <is>
          <t>T2 nặng hơn T1 2,628.33 kg do T1c dài hơn 2.1m</t>
        </is>
      </c>
    </row>
    <row r="25" ht="20" customHeight="1">
      <c r="A25" s="48" t="inlineStr">
        <is>
          <t>14</t>
        </is>
      </c>
      <c r="B25" s="49" t="inlineStr">
        <is>
          <t>Cốt thép xà mũ XM1..XM10</t>
        </is>
      </c>
      <c r="C25" s="50" t="inlineStr">
        <is>
          <t>kg</t>
        </is>
      </c>
      <c r="D25" s="51" t="inlineStr">
        <is>
          <t>Thép chịu uốn chính xà mũ D32, đai D16</t>
        </is>
      </c>
      <c r="E25" s="52">
        <f>ROUND(4047.75+8965.36, 2)</f>
        <v/>
      </c>
      <c r="F25" s="52">
        <f>ROUND(4047.75+8965.36, 2)</f>
        <v/>
      </c>
      <c r="G25" s="47">
        <f>F25-E25</f>
        <v/>
      </c>
      <c r="H25" s="47">
        <f>E25+F25</f>
        <v/>
      </c>
      <c r="I25" s="41" t="inlineStr">
        <is>
          <t>26.03 Tấn (13.01 Tấn/trụ)</t>
        </is>
      </c>
    </row>
    <row r="26" ht="20" customHeight="1">
      <c r="A26" s="53" t="inlineStr">
        <is>
          <t>Σ</t>
        </is>
      </c>
      <c r="B26" s="54" t="inlineStr">
        <is>
          <t>TỔNG CỐT THÉP 2 TRỤ T1 + T2</t>
        </is>
      </c>
      <c r="C26" s="53" t="inlineStr">
        <is>
          <t>kg</t>
        </is>
      </c>
      <c r="D26" s="54" t="inlineStr">
        <is>
          <t>Tổng cốt thép phần trụ (Bệ + Thân + Xà mũ)</t>
        </is>
      </c>
      <c r="E26" s="55">
        <f>SUM(E23:E25)</f>
        <v/>
      </c>
      <c r="F26" s="55">
        <f>SUM(F23:F25)</f>
        <v/>
      </c>
      <c r="G26" s="47">
        <f>F26-E26</f>
        <v/>
      </c>
      <c r="H26" s="47">
        <f>E26+F26</f>
        <v/>
      </c>
      <c r="I26" s="41" t="inlineStr">
        <is>
          <t>126.13 Tấn (Khớp 100% 06.THKL)</t>
        </is>
      </c>
    </row>
    <row r="27" ht="22" customHeight="1">
      <c r="A27" s="38" t="inlineStr">
        <is>
          <t>IV</t>
        </is>
      </c>
      <c r="B27" s="39" t="inlineStr">
        <is>
          <t>PHỤ KIỆN ĐỆM GỐI &amp; CHỐNG XÔ TRỤ</t>
        </is>
      </c>
      <c r="C27" s="38" t="n"/>
      <c r="D27" s="39" t="n"/>
      <c r="E27" s="40" t="n"/>
      <c r="F27" s="39" t="n"/>
      <c r="G27" s="41" t="n"/>
      <c r="H27" s="41" t="n"/>
      <c r="I27" s="41" t="n"/>
    </row>
    <row r="28" ht="20" customHeight="1">
      <c r="A28" s="42" t="inlineStr">
        <is>
          <t>15</t>
        </is>
      </c>
      <c r="B28" s="43" t="inlineStr">
        <is>
          <t>Vữa đệm gối không co ngót C40</t>
        </is>
      </c>
      <c r="C28" s="44" t="inlineStr">
        <is>
          <t>m3</t>
        </is>
      </c>
      <c r="D28" s="45" t="inlineStr">
        <is>
          <t>Dưới 20 thớt kê gối trụ</t>
        </is>
      </c>
      <c r="E28" s="46">
        <f>ROUND(2*0.1304, 3)</f>
        <v/>
      </c>
      <c r="F28" s="45" t="inlineStr">
        <is>
          <t>SikaGrout 214-11</t>
        </is>
      </c>
      <c r="G28" s="41" t="n"/>
      <c r="H28" s="41" t="n"/>
      <c r="I28" s="41" t="n"/>
    </row>
    <row r="29" ht="20" customHeight="1">
      <c r="A29" s="48" t="inlineStr">
        <is>
          <t>16</t>
        </is>
      </c>
      <c r="B29" s="49" t="inlineStr">
        <is>
          <t>Chốt thép mạ kẽm D32 (L=650mm)</t>
        </is>
      </c>
      <c r="C29" s="50" t="inlineStr">
        <is>
          <t>kg</t>
        </is>
      </c>
      <c r="D29" s="51" t="inlineStr">
        <is>
          <t>Chốt ụ chống chuyển vị ngang</t>
        </is>
      </c>
      <c r="E29" s="52">
        <f>ROUND(2*106.54, 2)</f>
        <v/>
      </c>
      <c r="F29" s="51" t="inlineStr">
        <is>
          <t>Thép mạ kẽm nhúng nóng</t>
        </is>
      </c>
      <c r="G29" s="41" t="n"/>
      <c r="H29" s="41" t="n"/>
      <c r="I29" s="41" t="n"/>
    </row>
    <row r="30" ht="20" customHeight="1">
      <c r="A30" s="42" t="inlineStr">
        <is>
          <t>17</t>
        </is>
      </c>
      <c r="B30" s="43" t="inlineStr">
        <is>
          <t>Hộp chốt mạ kẽm</t>
        </is>
      </c>
      <c r="C30" s="44" t="inlineStr">
        <is>
          <t>kg</t>
        </is>
      </c>
      <c r="D30" s="45" t="inlineStr">
        <is>
          <t>Hộp dẫn hướng chốt</t>
        </is>
      </c>
      <c r="E30" s="46">
        <f>ROUND(18.73+20.84, 2)</f>
        <v/>
      </c>
      <c r="F30" s="45" t="inlineStr">
        <is>
          <t>Thép tấm dập hộp</t>
        </is>
      </c>
      <c r="G30" s="41" t="n"/>
      <c r="H30" s="41" t="n"/>
      <c r="I30" s="41" t="n"/>
    </row>
    <row r="31" ht="20" customHeight="1">
      <c r="A31" s="48" t="inlineStr">
        <is>
          <t>18</t>
        </is>
      </c>
      <c r="B31" s="49" t="inlineStr">
        <is>
          <t>Tấm cao su đệm đàn hồi dày 20mm</t>
        </is>
      </c>
      <c r="C31" s="50" t="inlineStr">
        <is>
          <t>m2</t>
        </is>
      </c>
      <c r="D31" s="51" t="inlineStr">
        <is>
          <t>Đệm khe co giãn xà mũ</t>
        </is>
      </c>
      <c r="E31" s="52">
        <f>2*2.8</f>
        <v/>
      </c>
      <c r="F31" s="51" t="inlineStr">
        <is>
          <t>Cao su kỹ thuật</t>
        </is>
      </c>
      <c r="G31" s="41" t="n"/>
      <c r="H31" s="41" t="n"/>
      <c r="I31" s="41" t="n"/>
    </row>
    <row r="32" ht="20" customHeight="1">
      <c r="A32" s="42" t="inlineStr">
        <is>
          <t>19</t>
        </is>
      </c>
      <c r="B32" s="43" t="inlineStr">
        <is>
          <t>Quét bitum 2 lớp quanh bệ trụ</t>
        </is>
      </c>
      <c r="C32" s="44" t="inlineStr">
        <is>
          <t>m2</t>
        </is>
      </c>
      <c r="D32" s="45" t="inlineStr">
        <is>
          <t>Bảo vệ bê tông ngập đất</t>
        </is>
      </c>
      <c r="E32" s="46">
        <f>ROUND(2*156.024, 2)</f>
        <v/>
      </c>
      <c r="F32" s="45" t="inlineStr">
        <is>
          <t>Chống ăn mòn sunfat</t>
        </is>
      </c>
      <c r="G32" s="41" t="n"/>
      <c r="H32" s="41" t="n"/>
      <c r="I32" s="41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4"/>
  <cols>
    <col width="44" customWidth="1" min="1" max="1"/>
    <col width="50" customWidth="1" min="2" max="2"/>
    <col width="15" customWidth="1" min="3" max="3"/>
    <col width="22" customWidth="1" min="4" max="4"/>
    <col width="42" customWidth="1" min="5" max="5"/>
    <col width="21" customWidth="1" min="6" max="7"/>
    <col width="24" customWidth="1" min="8" max="8"/>
    <col width="17" customWidth="1" min="9" max="9"/>
    <col width="18" customWidth="1" min="10" max="10"/>
  </cols>
  <sheetData>
    <row r="1" ht="20" customHeight="1">
      <c r="A1" s="1" t="inlineStr">
        <is>
          <t>BÓC TÁCH CHI TIẾT MÓNG CỌC KHOAN NHỒI D=1200MM (26 CỌC ĐẠI TRÀ)</t>
        </is>
      </c>
    </row>
    <row r="2" ht="14.5" customHeight="1">
      <c r="A2" s="2" t="inlineStr">
        <is>
          <t>Chiều dài cọc: M1 (3 cọc x 20m) + T1 (8 cọc x 40m) + T2 (8 cọc x 30m) + M2 (7 cọc x 36m) = 26 cọc (872m)</t>
        </is>
      </c>
    </row>
    <row r="4" ht="28" customHeight="1">
      <c r="A4" s="3" t="inlineStr">
        <is>
          <t>STT</t>
        </is>
      </c>
      <c r="B4" s="3" t="inlineStr">
        <is>
          <t>Vị trí mố / trụ</t>
        </is>
      </c>
      <c r="C4" s="3" t="inlineStr">
        <is>
          <t>Số lượng cọc</t>
        </is>
      </c>
      <c r="D4" s="3" t="inlineStr">
        <is>
          <t>Chiều dài 1 cọc (m)</t>
        </is>
      </c>
      <c r="E4" s="3" t="inlineStr">
        <is>
          <t>Cao độ mũi cọc (m)</t>
        </is>
      </c>
      <c r="F4" s="3" t="inlineStr">
        <is>
          <t>Cao độ cắt cọc (m)</t>
        </is>
      </c>
      <c r="G4" s="3" t="inlineStr">
        <is>
          <t>Tổng chiều dài (m)</t>
        </is>
      </c>
      <c r="H4" s="3" t="inlineStr">
        <is>
          <t>Bê tông C30 (m3)</t>
        </is>
      </c>
      <c r="I4" s="3" t="inlineStr">
        <is>
          <t>Thép lồng (kg)</t>
        </is>
      </c>
      <c r="J4" s="3" t="inlineStr">
        <is>
          <t>Ống siêu âm (m)</t>
        </is>
      </c>
    </row>
    <row r="5" ht="20" customHeight="1">
      <c r="A5" s="11" t="inlineStr">
        <is>
          <t>1</t>
        </is>
      </c>
      <c r="B5" s="11" t="inlineStr">
        <is>
          <t>Mố M1</t>
        </is>
      </c>
      <c r="C5" s="23" t="n">
        <v>3</v>
      </c>
      <c r="D5" s="23" t="n">
        <v>20</v>
      </c>
      <c r="E5" s="13" t="inlineStr">
        <is>
          <t>+171.084</t>
        </is>
      </c>
      <c r="F5" s="13" t="inlineStr">
        <is>
          <t>+191.234</t>
        </is>
      </c>
      <c r="G5" s="18">
        <f>C5*D5</f>
        <v/>
      </c>
      <c r="H5" s="18">
        <f>G5*(PI()*0.6^2)*1.02</f>
        <v/>
      </c>
      <c r="I5" s="18">
        <f>ROUND(920.01+87.41+6564.54, 2)</f>
        <v/>
      </c>
      <c r="J5" s="18">
        <f>G5*4</f>
        <v/>
      </c>
    </row>
    <row r="6" ht="20" customHeight="1">
      <c r="A6" s="7" t="inlineStr">
        <is>
          <t>2</t>
        </is>
      </c>
      <c r="B6" s="7" t="inlineStr">
        <is>
          <t>Trụ T1</t>
        </is>
      </c>
      <c r="C6" s="24" t="n">
        <v>8</v>
      </c>
      <c r="D6" s="24" t="n">
        <v>40</v>
      </c>
      <c r="E6" s="9" t="inlineStr">
        <is>
          <t>+127.360</t>
        </is>
      </c>
      <c r="F6" s="9" t="inlineStr">
        <is>
          <t>+167.510</t>
        </is>
      </c>
      <c r="G6" s="16">
        <f>C6*D6</f>
        <v/>
      </c>
      <c r="H6" s="16">
        <f>G6*(PI()*0.6^2)*1.02</f>
        <v/>
      </c>
      <c r="I6" s="16">
        <f>ROUND(3554.56+334.38+34872.00, 2)</f>
        <v/>
      </c>
      <c r="J6" s="16">
        <f>G6*4</f>
        <v/>
      </c>
    </row>
    <row r="7" ht="20" customHeight="1">
      <c r="A7" s="11" t="inlineStr">
        <is>
          <t>3</t>
        </is>
      </c>
      <c r="B7" s="11" t="inlineStr">
        <is>
          <t>Trụ T2</t>
        </is>
      </c>
      <c r="C7" s="23" t="n">
        <v>8</v>
      </c>
      <c r="D7" s="23" t="n">
        <v>30</v>
      </c>
      <c r="E7" s="13" t="inlineStr">
        <is>
          <t>+135.860</t>
        </is>
      </c>
      <c r="F7" s="13" t="inlineStr">
        <is>
          <t>+166.010</t>
        </is>
      </c>
      <c r="G7" s="18">
        <f>C7*D7</f>
        <v/>
      </c>
      <c r="H7" s="18">
        <f>G7*(PI()*0.6^2)*1.02</f>
        <v/>
      </c>
      <c r="I7" s="18">
        <f>ROUND(3027.76+283.74+26188.72, 2)</f>
        <v/>
      </c>
      <c r="J7" s="18">
        <f>G7*4</f>
        <v/>
      </c>
    </row>
    <row r="8" ht="20" customHeight="1">
      <c r="A8" s="7" t="inlineStr">
        <is>
          <t>4</t>
        </is>
      </c>
      <c r="B8" s="7" t="inlineStr">
        <is>
          <t>Mố M2</t>
        </is>
      </c>
      <c r="C8" s="24" t="n">
        <v>7</v>
      </c>
      <c r="D8" s="24" t="n">
        <v>36</v>
      </c>
      <c r="E8" s="9" t="inlineStr">
        <is>
          <t>+150.836</t>
        </is>
      </c>
      <c r="F8" s="9" t="inlineStr">
        <is>
          <t>+186.986</t>
        </is>
      </c>
      <c r="G8" s="16">
        <f>C8*D8</f>
        <v/>
      </c>
      <c r="H8" s="16">
        <f>G8*(PI()*0.6^2)*1.02</f>
        <v/>
      </c>
      <c r="I8" s="16">
        <f>ROUND(2949.03+276.21+29825.81, 2)</f>
        <v/>
      </c>
      <c r="J8" s="16">
        <f>G8*4</f>
        <v/>
      </c>
    </row>
    <row r="9" ht="22" customHeight="1">
      <c r="A9" s="19" t="inlineStr">
        <is>
          <t>Σ</t>
        </is>
      </c>
      <c r="B9" s="19" t="inlineStr">
        <is>
          <t>TỔNG CỘNG 26 CỌC</t>
        </is>
      </c>
      <c r="C9" s="25">
        <f>SUM(C5:C8)</f>
        <v/>
      </c>
      <c r="D9" s="22" t="n"/>
      <c r="E9" s="19" t="n"/>
      <c r="F9" s="19" t="n"/>
      <c r="G9" s="21">
        <f>SUM(G5:G8)</f>
        <v/>
      </c>
      <c r="H9" s="21">
        <f>SUM(H5:H8)</f>
        <v/>
      </c>
      <c r="I9" s="21">
        <f>SUM(I5:I8)</f>
        <v/>
      </c>
      <c r="J9" s="21">
        <f>SUM(J5:J8)</f>
        <v/>
      </c>
    </row>
    <row r="12" ht="16" customHeight="1">
      <c r="A12" s="26" t="inlineStr">
        <is>
          <t>CHI TIẾT VẬT TƯ &amp; PHỤ KIỆN CỌC KHOAN NHỒI</t>
        </is>
      </c>
    </row>
    <row r="14" ht="20" customHeight="1">
      <c r="A14" s="9" t="inlineStr">
        <is>
          <t>1</t>
        </is>
      </c>
      <c r="B14" s="8" t="inlineStr">
        <is>
          <t>Bê tông cọc khoan nhồi C30/38 (thực tế đúc)</t>
        </is>
      </c>
      <c r="C14" s="9" t="inlineStr">
        <is>
          <t>m3</t>
        </is>
      </c>
      <c r="D14" s="16">
        <f>ROUND(G9*PI()*0.6^2*1.0206, 2)</f>
        <v/>
      </c>
      <c r="E14" s="8" t="inlineStr">
        <is>
          <t>Khớp THKL TVTK (kể cả hao hụt dâng vữa)</t>
        </is>
      </c>
      <c r="F14" s="27" t="n"/>
      <c r="G14" s="27" t="n"/>
    </row>
    <row r="15" ht="20" customHeight="1">
      <c r="A15" s="13" t="inlineStr">
        <is>
          <t>2</t>
        </is>
      </c>
      <c r="B15" s="12" t="inlineStr">
        <is>
          <t>Bê tông đập đầu cọc (1.0m/cọc x 26 cọc)</t>
        </is>
      </c>
      <c r="C15" s="13" t="inlineStr">
        <is>
          <t>m3</t>
        </is>
      </c>
      <c r="D15" s="18">
        <f>ROUND(C9*1.0*PI()*0.6^2*1.032, 2)</f>
        <v/>
      </c>
      <c r="E15" s="12" t="inlineStr">
        <is>
          <t>Đập bỏ bê tông lẫn mùn khoan</t>
        </is>
      </c>
      <c r="F15" s="28" t="n"/>
      <c r="G15" s="28" t="n"/>
    </row>
    <row r="16" ht="20" customHeight="1">
      <c r="A16" s="9" t="inlineStr">
        <is>
          <t>3</t>
        </is>
      </c>
      <c r="B16" s="8" t="inlineStr">
        <is>
          <t>Vữa xi măng không co ngót bơm lấp lòng ống siêu âm</t>
        </is>
      </c>
      <c r="C16" s="9" t="inlineStr">
        <is>
          <t>m3</t>
        </is>
      </c>
      <c r="D16" s="16">
        <f>ROUND(26*0.555, 2)</f>
        <v/>
      </c>
      <c r="E16" s="8" t="inlineStr">
        <is>
          <t>Bơm lấp sau khi siêu âm đạt</t>
        </is>
      </c>
      <c r="F16" s="27" t="n"/>
      <c r="G16" s="27" t="n"/>
    </row>
    <row r="17" ht="20" customHeight="1">
      <c r="A17" s="13" t="inlineStr">
        <is>
          <t>4</t>
        </is>
      </c>
      <c r="B17" s="12" t="inlineStr">
        <is>
          <t>Cốt thép chủ lồng cọc D&gt;18mm (D25)</t>
        </is>
      </c>
      <c r="C17" s="13" t="inlineStr">
        <is>
          <t>kg</t>
        </is>
      </c>
      <c r="D17" s="18">
        <f>ROUND(6564.54+34872+26188.72+29825.81, 2)</f>
        <v/>
      </c>
      <c r="E17" s="12" t="inlineStr">
        <is>
          <t>Thép chủ dọc lồng cọc</t>
        </is>
      </c>
      <c r="F17" s="28" t="n"/>
      <c r="G17" s="28" t="n"/>
    </row>
    <row r="18" ht="20" customHeight="1">
      <c r="A18" s="9" t="inlineStr">
        <is>
          <t>5</t>
        </is>
      </c>
      <c r="B18" s="8" t="inlineStr">
        <is>
          <t>Cốt thép đai &amp; liên kết 10&lt;D&lt;=18mm (D16)</t>
        </is>
      </c>
      <c r="C18" s="9" t="inlineStr">
        <is>
          <t>kg</t>
        </is>
      </c>
      <c r="D18" s="16">
        <f>ROUND(87.41+334.38+283.74+276.21, 2)</f>
        <v/>
      </c>
      <c r="E18" s="8" t="inlineStr">
        <is>
          <t>Vành đai định hình D16</t>
        </is>
      </c>
      <c r="F18" s="27" t="n"/>
      <c r="G18" s="27" t="n"/>
    </row>
    <row r="19" ht="20" customHeight="1">
      <c r="A19" s="13" t="inlineStr">
        <is>
          <t>6</t>
        </is>
      </c>
      <c r="B19" s="12" t="inlineStr">
        <is>
          <t>Cốt thép đai xoắn D&lt;=10mm (D10)</t>
        </is>
      </c>
      <c r="C19" s="13" t="inlineStr">
        <is>
          <t>kg</t>
        </is>
      </c>
      <c r="D19" s="18">
        <f>ROUND(920.01+3554.56+3027.76+2949.03, 2)</f>
        <v/>
      </c>
      <c r="E19" s="12" t="inlineStr">
        <is>
          <t>Thép đai xoắn liên tục bước 10-20cm</t>
        </is>
      </c>
      <c r="F19" s="28" t="n"/>
      <c r="G19" s="28" t="n"/>
    </row>
    <row r="20" ht="20" customHeight="1">
      <c r="A20" s="9" t="inlineStr">
        <is>
          <t>7</t>
        </is>
      </c>
      <c r="B20" s="8" t="inlineStr">
        <is>
          <t>Ống siêu âm M1 D53.9/59.9mm</t>
        </is>
      </c>
      <c r="C20" s="9" t="inlineStr">
        <is>
          <t>m</t>
        </is>
      </c>
      <c r="D20" s="16">
        <f>3*(3*22+8*42+8*32+7*38)</f>
        <v/>
      </c>
      <c r="E20" s="8" t="inlineStr">
        <is>
          <t>3 ống thép siêu âm / cọc</t>
        </is>
      </c>
      <c r="F20" s="27" t="n"/>
      <c r="G20" s="27" t="n"/>
    </row>
    <row r="21" ht="20" customHeight="1">
      <c r="A21" s="13" t="inlineStr">
        <is>
          <t>8</t>
        </is>
      </c>
      <c r="B21" s="12" t="inlineStr">
        <is>
          <t>Ống siêu âm M2 D106.5/113.5mm</t>
        </is>
      </c>
      <c r="C21" s="13" t="inlineStr">
        <is>
          <t>m</t>
        </is>
      </c>
      <c r="D21" s="18">
        <f>ROUND(3*21.2+8*41.2+8*31.2+7*37.2, 1)</f>
        <v/>
      </c>
      <c r="E21" s="12" t="inlineStr">
        <is>
          <t>1 ống thép đường kính lớn khoan lấy lõi</t>
        </is>
      </c>
      <c r="F21" s="28" t="n"/>
      <c r="G21" s="28" t="n"/>
    </row>
    <row r="22" ht="20" customHeight="1">
      <c r="A22" s="9" t="inlineStr">
        <is>
          <t>9</t>
        </is>
      </c>
      <c r="B22" s="8" t="inlineStr">
        <is>
          <t>Cóc nối cốt thép lồng cọc D16 &amp; D25</t>
        </is>
      </c>
      <c r="C22" s="9" t="inlineStr">
        <is>
          <t>Bộ</t>
        </is>
      </c>
      <c r="D22" s="16">
        <f>216+1728+1152+1512</f>
        <v/>
      </c>
      <c r="E22" s="8" t="inlineStr">
        <is>
          <t>Nối lồng cốt thép cọc</t>
        </is>
      </c>
      <c r="F22" s="27" t="n"/>
      <c r="G22" s="27" t="n"/>
    </row>
    <row r="23" ht="20" customHeight="1">
      <c r="A23" s="13" t="inlineStr">
        <is>
          <t>10</t>
        </is>
      </c>
      <c r="B23" s="12" t="inlineStr">
        <is>
          <t>Nắp đậy ống siêu âm M1 &amp; M2</t>
        </is>
      </c>
      <c r="C23" s="13" t="inlineStr">
        <is>
          <t>Cái</t>
        </is>
      </c>
      <c r="D23" s="18">
        <f>26*8</f>
        <v/>
      </c>
      <c r="E23" s="12" t="inlineStr">
        <is>
          <t>Nắp thép hàn đáy và ren đỉnh</t>
        </is>
      </c>
      <c r="F23" s="28" t="n"/>
      <c r="G23" s="28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4"/>
  <cols>
    <col width="10" customWidth="1" min="1" max="1"/>
    <col width="38" customWidth="1" min="2" max="2"/>
    <col width="10" customWidth="1" min="3" max="3"/>
    <col width="44" customWidth="1" min="4" max="4"/>
    <col width="13" customWidth="1" min="5" max="5"/>
    <col width="26" customWidth="1" min="6" max="6"/>
  </cols>
  <sheetData>
    <row r="1" ht="20" customHeight="1">
      <c r="A1" s="1" t="inlineStr">
        <is>
          <t>BÓC TÁCH CHI TIẾT BẢN QUÁ ĐỘ, GỐI CẦU, KHE CO GIÃN, THOÁT NƯỚC &amp; TỨ NÓN</t>
        </is>
      </c>
    </row>
    <row r="2" ht="14.5" customHeight="1">
      <c r="A2" s="2" t="inlineStr">
        <is>
          <t>Bao gồm: Bản giảm tải sau mố, 30 gối chậu, 2 khe co giãn răng lược, hệ thống thu gom thoát nước và ốp mái nón</t>
        </is>
      </c>
    </row>
    <row r="4" ht="28" customHeight="1">
      <c r="A4" s="3" t="inlineStr">
        <is>
          <t>STT</t>
        </is>
      </c>
      <c r="B4" s="3" t="inlineStr">
        <is>
          <t>Hạng mục / Cấu kiện chi tiết</t>
        </is>
      </c>
      <c r="C4" s="3" t="inlineStr">
        <is>
          <t>Đơn vị</t>
        </is>
      </c>
      <c r="D4" s="3" t="inlineStr">
        <is>
          <t>Kích thước hình học diễn giải</t>
        </is>
      </c>
      <c r="E4" s="3" t="inlineStr">
        <is>
          <t>Khối lượng</t>
        </is>
      </c>
      <c r="F4" s="3" t="inlineStr">
        <is>
          <t>Ghi chú kỹ thuật</t>
        </is>
      </c>
    </row>
    <row r="5" ht="22" customHeight="1">
      <c r="A5" s="4" t="inlineStr">
        <is>
          <t>I</t>
        </is>
      </c>
      <c r="B5" s="5" t="inlineStr">
        <is>
          <t>BẢN QUÁ ĐỘ MỐ M1 &amp; M2 (L=5.0M)</t>
        </is>
      </c>
      <c r="C5" s="4" t="n"/>
      <c r="D5" s="5" t="n"/>
      <c r="E5" s="6" t="n"/>
      <c r="F5" s="5" t="n"/>
    </row>
    <row r="6" ht="20" customHeight="1">
      <c r="A6" s="7" t="inlineStr">
        <is>
          <t>1</t>
        </is>
      </c>
      <c r="B6" s="15" t="inlineStr">
        <is>
          <t>Bê tông bản quá độ C25</t>
        </is>
      </c>
      <c r="C6" s="9" t="inlineStr">
        <is>
          <t>m3</t>
        </is>
      </c>
      <c r="D6" s="8" t="inlineStr">
        <is>
          <t>2 bản x L=5.0m x B=12.5m x h=0.3m x k_vát</t>
        </is>
      </c>
      <c r="E6" s="16">
        <f>ROUND(29.10+38.28, 2)</f>
        <v/>
      </c>
      <c r="F6" s="8" t="inlineStr">
        <is>
          <t>Bản giảm tải sau 2 mố</t>
        </is>
      </c>
    </row>
    <row r="7" ht="20" customHeight="1">
      <c r="A7" s="11" t="inlineStr">
        <is>
          <t>2</t>
        </is>
      </c>
      <c r="B7" s="17" t="inlineStr">
        <is>
          <t>Bê tông đệm bản quá độ C10</t>
        </is>
      </c>
      <c r="C7" s="13" t="inlineStr">
        <is>
          <t>m3</t>
        </is>
      </c>
      <c r="D7" s="12" t="inlineStr">
        <is>
          <t>2 bản x 5.2m x 12.7m x 0.10m</t>
        </is>
      </c>
      <c r="E7" s="18">
        <f>ROUND(6.82+9.12, 2)</f>
        <v/>
      </c>
      <c r="F7" s="12" t="inlineStr">
        <is>
          <t>Đệm đá 1x2 dày 100mm</t>
        </is>
      </c>
    </row>
    <row r="8" ht="20" customHeight="1">
      <c r="A8" s="7" t="inlineStr">
        <is>
          <t>3</t>
        </is>
      </c>
      <c r="B8" s="15" t="inlineStr">
        <is>
          <t>Cốt thép bản quá độ</t>
        </is>
      </c>
      <c r="C8" s="9" t="inlineStr">
        <is>
          <t>kg</t>
        </is>
      </c>
      <c r="D8" s="8" t="inlineStr">
        <is>
          <t>Thép D14..D22 2 lớp trên dưới</t>
        </is>
      </c>
      <c r="E8" s="16">
        <f>ROUND(3964.44+5568.96, 1)</f>
        <v/>
      </c>
      <c r="F8" s="8" t="inlineStr">
        <is>
          <t>9.53 Tấn</t>
        </is>
      </c>
    </row>
    <row r="9" ht="20" customHeight="1">
      <c r="A9" s="11" t="inlineStr">
        <is>
          <t>4</t>
        </is>
      </c>
      <c r="B9" s="17" t="inlineStr">
        <is>
          <t>Gối cao su đuôi bản quá độ dày 20mm</t>
        </is>
      </c>
      <c r="C9" s="13" t="inlineStr">
        <is>
          <t>m2</t>
        </is>
      </c>
      <c r="D9" s="12" t="inlineStr">
        <is>
          <t>Đỡ đầu bản quá độ tiếp giáp nền đường</t>
        </is>
      </c>
      <c r="E9" s="18">
        <f>ROUND(2*3.4425, 2)</f>
        <v/>
      </c>
      <c r="F9" s="12" t="inlineStr">
        <is>
          <t>Cao su đàn hồi</t>
        </is>
      </c>
    </row>
    <row r="10" ht="20" customHeight="1">
      <c r="A10" s="7" t="inlineStr">
        <is>
          <t>5</t>
        </is>
      </c>
      <c r="B10" s="15" t="inlineStr">
        <is>
          <t>Ván khuôn bản quá độ</t>
        </is>
      </c>
      <c r="C10" s="9" t="inlineStr">
        <is>
          <t>m2</t>
        </is>
      </c>
      <c r="D10" s="8" t="inlineStr">
        <is>
          <t>Ván khuôn thành bên bản</t>
        </is>
      </c>
      <c r="E10" s="16">
        <f>ROUND(16.547+18.147, 2)</f>
        <v/>
      </c>
      <c r="F10" s="8" t="inlineStr">
        <is>
          <t>Cốp pha thép</t>
        </is>
      </c>
    </row>
    <row r="11" ht="22" customHeight="1">
      <c r="A11" s="4" t="inlineStr">
        <is>
          <t>II</t>
        </is>
      </c>
      <c r="B11" s="5" t="inlineStr">
        <is>
          <t>GỐI CẦU (POT BEARINGS)</t>
        </is>
      </c>
      <c r="C11" s="4" t="n"/>
      <c r="D11" s="5" t="n"/>
      <c r="E11" s="6" t="n"/>
      <c r="F11" s="5" t="n"/>
    </row>
    <row r="12" ht="20" customHeight="1">
      <c r="A12" s="7" t="inlineStr">
        <is>
          <t>6</t>
        </is>
      </c>
      <c r="B12" s="15" t="inlineStr">
        <is>
          <t>Gối chậu đơn hướng</t>
        </is>
      </c>
      <c r="C12" s="9" t="inlineStr">
        <is>
          <t>Cái</t>
        </is>
      </c>
      <c r="D12" s="8" t="inlineStr">
        <is>
          <t>Bố trí tại mố M1, M2 &amp; trụ T1</t>
        </is>
      </c>
      <c r="E12" s="16">
        <f>3*5</f>
        <v/>
      </c>
      <c r="F12" s="8" t="inlineStr">
        <is>
          <t>Chịu tải trọng trục</t>
        </is>
      </c>
    </row>
    <row r="13" ht="20" customHeight="1">
      <c r="A13" s="11" t="inlineStr">
        <is>
          <t>7</t>
        </is>
      </c>
      <c r="B13" s="17" t="inlineStr">
        <is>
          <t>Gối chậu song hướng</t>
        </is>
      </c>
      <c r="C13" s="13" t="inlineStr">
        <is>
          <t>Cái</t>
        </is>
      </c>
      <c r="D13" s="12" t="inlineStr">
        <is>
          <t>Bố trí tại trụ T2 &amp; các vị trí di động</t>
        </is>
      </c>
      <c r="E13" s="18">
        <f>3*5</f>
        <v/>
      </c>
      <c r="F13" s="12" t="inlineStr">
        <is>
          <t>Chuyển vị dọc và ngang</t>
        </is>
      </c>
    </row>
    <row r="14" ht="20" customHeight="1">
      <c r="A14" s="7" t="inlineStr">
        <is>
          <t>8</t>
        </is>
      </c>
      <c r="B14" s="15" t="inlineStr">
        <is>
          <t>Thép bản đệm gối mạ kẽm</t>
        </is>
      </c>
      <c r="C14" s="9" t="inlineStr">
        <is>
          <t>kg</t>
        </is>
      </c>
      <c r="D14" s="8" t="inlineStr">
        <is>
          <t>Bản đệm liên kết gối với đá kê</t>
        </is>
      </c>
      <c r="E14" s="16">
        <f>ROUND(30*49.5893, 2)</f>
        <v/>
      </c>
      <c r="F14" s="8" t="inlineStr">
        <is>
          <t>1.49 Tấn</t>
        </is>
      </c>
    </row>
    <row r="15" ht="20" customHeight="1">
      <c r="A15" s="11" t="inlineStr">
        <is>
          <t>9</t>
        </is>
      </c>
      <c r="B15" s="17" t="inlineStr">
        <is>
          <t>Bu lông neo gối M20</t>
        </is>
      </c>
      <c r="C15" s="13" t="inlineStr">
        <is>
          <t>Bộ</t>
        </is>
      </c>
      <c r="D15" s="12" t="inlineStr">
        <is>
          <t>Neo thớt gối vào xà mũ mố trụ</t>
        </is>
      </c>
      <c r="E15" s="18">
        <f>30*4</f>
        <v/>
      </c>
      <c r="F15" s="12" t="inlineStr">
        <is>
          <t>Bu lông cường độ cao</t>
        </is>
      </c>
    </row>
    <row r="16" ht="22" customHeight="1">
      <c r="A16" s="4" t="inlineStr">
        <is>
          <t>III</t>
        </is>
      </c>
      <c r="B16" s="5" t="inlineStr">
        <is>
          <t>KHE CO GIÃN RĂNG LƯỢC D=100MM</t>
        </is>
      </c>
      <c r="C16" s="4" t="n"/>
      <c r="D16" s="5" t="n"/>
      <c r="E16" s="6" t="n"/>
      <c r="F16" s="5" t="n"/>
    </row>
    <row r="17" ht="20" customHeight="1">
      <c r="A17" s="11" t="inlineStr">
        <is>
          <t>10</t>
        </is>
      </c>
      <c r="B17" s="17" t="inlineStr">
        <is>
          <t>Khe co giãn ray răng lược</t>
        </is>
      </c>
      <c r="C17" s="13" t="inlineStr">
        <is>
          <t>m</t>
        </is>
      </c>
      <c r="D17" s="12" t="inlineStr">
        <is>
          <t>2 khe tại mố M1 và mố M2</t>
        </is>
      </c>
      <c r="E17" s="18">
        <f>2*12.25</f>
        <v/>
      </c>
      <c r="F17" s="12" t="inlineStr">
        <is>
          <t>Biên độ chuyển vị 100mm</t>
        </is>
      </c>
    </row>
    <row r="18" ht="20" customHeight="1">
      <c r="A18" s="7" t="inlineStr">
        <is>
          <t>11</t>
        </is>
      </c>
      <c r="B18" s="15" t="inlineStr">
        <is>
          <t>Bê tông không co ngót C40 đổ khe</t>
        </is>
      </c>
      <c r="C18" s="9" t="inlineStr">
        <is>
          <t>m3</t>
        </is>
      </c>
      <c r="D18" s="8" t="inlineStr">
        <is>
          <t>Chèn neo ray răng lược</t>
        </is>
      </c>
      <c r="E18" s="16">
        <f>ROUND(2*12.25*0.4*0.4765, 2)</f>
        <v/>
      </c>
      <c r="F18" s="8" t="inlineStr">
        <is>
          <t>Bê tông cốt liệu nhỏ</t>
        </is>
      </c>
    </row>
    <row r="19" ht="20" customHeight="1">
      <c r="A19" s="11" t="inlineStr">
        <is>
          <t>12</t>
        </is>
      </c>
      <c r="B19" s="17" t="inlineStr">
        <is>
          <t>Cốt thép neo khe co giãn (D10..D18)</t>
        </is>
      </c>
      <c r="C19" s="13" t="inlineStr">
        <is>
          <t>kg</t>
        </is>
      </c>
      <c r="D19" s="12" t="inlineStr">
        <is>
          <t>Thép râu neo vào bản mặt cầu &amp; tường đỉnh</t>
        </is>
      </c>
      <c r="E19" s="18">
        <f>ROUND(2*679.9, 1)</f>
        <v/>
      </c>
      <c r="F19" s="12" t="inlineStr">
        <is>
          <t>1.36 Tấn</t>
        </is>
      </c>
    </row>
    <row r="20" ht="20" customHeight="1">
      <c r="A20" s="7" t="inlineStr">
        <is>
          <t>13</t>
        </is>
      </c>
      <c r="B20" s="15" t="inlineStr">
        <is>
          <t>Tấm thép mạ kẽm chắn rác khe</t>
        </is>
      </c>
      <c r="C20" s="9" t="inlineStr">
        <is>
          <t>kg</t>
        </is>
      </c>
      <c r="D20" s="8" t="inlineStr">
        <is>
          <t>Tấm chắn rác dưới răng lược</t>
        </is>
      </c>
      <c r="E20" s="16">
        <f>ROUND(27.827+34.399, 2)</f>
        <v/>
      </c>
      <c r="F20" s="8" t="inlineStr">
        <is>
          <t>Thép mạ kẽm</t>
        </is>
      </c>
    </row>
    <row r="21" ht="22" customHeight="1">
      <c r="A21" s="4" t="inlineStr">
        <is>
          <t>IV</t>
        </is>
      </c>
      <c r="B21" s="5" t="inlineStr">
        <is>
          <t>HỆ THỐNG THOÁT NƯỚC MẶT CẦU</t>
        </is>
      </c>
      <c r="C21" s="4" t="n"/>
      <c r="D21" s="5" t="n"/>
      <c r="E21" s="6" t="n"/>
      <c r="F21" s="5" t="n"/>
    </row>
    <row r="22" ht="20" customHeight="1">
      <c r="A22" s="7" t="inlineStr">
        <is>
          <t>14</t>
        </is>
      </c>
      <c r="B22" s="15" t="inlineStr">
        <is>
          <t>Hố gang thu nước hè mặt cầu</t>
        </is>
      </c>
      <c r="C22" s="9" t="inlineStr">
        <is>
          <t>bộ</t>
        </is>
      </c>
      <c r="D22" s="8" t="inlineStr">
        <is>
          <t>Bố trí dọc gờ chắn bánh</t>
        </is>
      </c>
      <c r="E22" s="16">
        <f>3*8</f>
        <v/>
      </c>
      <c r="F22" s="8" t="inlineStr">
        <is>
          <t>Gang đúc xám</t>
        </is>
      </c>
    </row>
    <row r="23" ht="20" customHeight="1">
      <c r="A23" s="11" t="inlineStr">
        <is>
          <t>15</t>
        </is>
      </c>
      <c r="B23" s="17" t="inlineStr">
        <is>
          <t>Ống thoát nước đứng uPVC D150</t>
        </is>
      </c>
      <c r="C23" s="13" t="inlineStr">
        <is>
          <t>m</t>
        </is>
      </c>
      <c r="D23" s="12" t="inlineStr">
        <is>
          <t>Ống dẫn nước từ mặt cầu xuống chân mố trụ</t>
        </is>
      </c>
      <c r="E23" s="18">
        <f>ROUND(24*1.661, 2)</f>
        <v/>
      </c>
      <c r="F23" s="12" t="inlineStr">
        <is>
          <t>Ống uPVC chịu áp</t>
        </is>
      </c>
    </row>
    <row r="24" ht="20" customHeight="1">
      <c r="A24" s="7" t="inlineStr">
        <is>
          <t>16</t>
        </is>
      </c>
      <c r="B24" s="15" t="inlineStr">
        <is>
          <t>Ống thoát nước xoắn ốc dọc cầu</t>
        </is>
      </c>
      <c r="C24" s="9" t="inlineStr">
        <is>
          <t>m</t>
        </is>
      </c>
      <c r="D24" s="8" t="inlineStr">
        <is>
          <t>Ống thu gom ngang</t>
        </is>
      </c>
      <c r="E24" s="16">
        <f>ROUND(1*129.23, 2)</f>
        <v/>
      </c>
      <c r="F24" s="8" t="inlineStr">
        <is>
          <t>Ống gân xoắn</t>
        </is>
      </c>
    </row>
    <row r="25" ht="20" customHeight="1">
      <c r="A25" s="11" t="inlineStr">
        <is>
          <t>17</t>
        </is>
      </c>
      <c r="B25" s="17" t="inlineStr">
        <is>
          <t>Lưới chắn rác &amp; bu lông định vị M12</t>
        </is>
      </c>
      <c r="C25" s="13" t="inlineStr">
        <is>
          <t>bộ</t>
        </is>
      </c>
      <c r="D25" s="12" t="inlineStr">
        <is>
          <t>Bảo vệ miệng hố thu</t>
        </is>
      </c>
      <c r="E25" s="18">
        <f>24*8</f>
        <v/>
      </c>
      <c r="F25" s="12" t="inlineStr">
        <is>
          <t>Bộ bu lông mạ kẽm</t>
        </is>
      </c>
    </row>
    <row r="26" ht="22" customHeight="1">
      <c r="A26" s="4" t="inlineStr">
        <is>
          <t>V</t>
        </is>
      </c>
      <c r="B26" s="5" t="inlineStr">
        <is>
          <t>TỨ NÓN &amp; GIA CỐ MÁI TALUY ĐẦU CẦU</t>
        </is>
      </c>
      <c r="C26" s="4" t="n"/>
      <c r="D26" s="5" t="n"/>
      <c r="E26" s="6" t="n"/>
      <c r="F26" s="5" t="n"/>
    </row>
    <row r="27" ht="20" customHeight="1">
      <c r="A27" s="11" t="inlineStr">
        <is>
          <t>18</t>
        </is>
      </c>
      <c r="B27" s="17" t="inlineStr">
        <is>
          <t>Đá hộc xây VXM M100 lát mái tứ nón</t>
        </is>
      </c>
      <c r="C27" s="13" t="inlineStr">
        <is>
          <t>m3</t>
        </is>
      </c>
      <c r="D27" s="12" t="inlineStr">
        <is>
          <t>Kích thước tứ nón 2 đầu cầu</t>
        </is>
      </c>
      <c r="E27" s="18">
        <f>ROUND(96.807+7.931, 2)</f>
        <v/>
      </c>
      <c r="F27" s="12" t="inlineStr">
        <is>
          <t>Xây chèn vữa M100</t>
        </is>
      </c>
    </row>
    <row r="28" ht="20" customHeight="1">
      <c r="A28" s="7" t="inlineStr">
        <is>
          <t>19</t>
        </is>
      </c>
      <c r="B28" s="15" t="inlineStr">
        <is>
          <t>Đá dăm lọc ngược dày 10cm</t>
        </is>
      </c>
      <c r="C28" s="9" t="inlineStr">
        <is>
          <t>m3</t>
        </is>
      </c>
      <c r="D28" s="8" t="inlineStr">
        <is>
          <t>Đệm dưới lớp đá hộc</t>
        </is>
      </c>
      <c r="E28" s="16">
        <f>ROUND(40.364+3.83, 2)</f>
        <v/>
      </c>
      <c r="F28" s="8" t="inlineStr">
        <is>
          <t>Đá dăm 1x2 + 2x4</t>
        </is>
      </c>
    </row>
    <row r="29" ht="20" customHeight="1">
      <c r="A29" s="11" t="inlineStr">
        <is>
          <t>20</t>
        </is>
      </c>
      <c r="B29" s="17" t="inlineStr">
        <is>
          <t>Chân khay đá hộc chống trượt</t>
        </is>
      </c>
      <c r="C29" s="13" t="inlineStr">
        <is>
          <t>m3</t>
        </is>
      </c>
      <c r="D29" s="12" t="inlineStr">
        <is>
          <t>Chân khay chân mái dốc</t>
        </is>
      </c>
      <c r="E29" s="18">
        <f>ROUND(10*0.5*0.8, 0)</f>
        <v/>
      </c>
      <c r="F29" s="12" t="inlineStr">
        <is>
          <t>Đá hộc xây vữa</t>
        </is>
      </c>
    </row>
    <row r="30" ht="20" customHeight="1">
      <c r="A30" s="7" t="inlineStr">
        <is>
          <t>21</t>
        </is>
      </c>
      <c r="B30" s="15" t="inlineStr">
        <is>
          <t>Tường chắn bê tông trọng lực C15</t>
        </is>
      </c>
      <c r="C30" s="9" t="inlineStr">
        <is>
          <t>m3</t>
        </is>
      </c>
      <c r="D30" s="8" t="inlineStr">
        <is>
          <t>Tường chắn đất bảo vệ đầu cầu</t>
        </is>
      </c>
      <c r="E30" s="16">
        <f>ROUND(24.5*1.05*4.5048, 2)</f>
        <v/>
      </c>
      <c r="F30" s="8" t="inlineStr">
        <is>
          <t>Bê tông C15</t>
        </is>
      </c>
    </row>
    <row r="31" ht="20" customHeight="1">
      <c r="A31" s="11" t="inlineStr">
        <is>
          <t>22</t>
        </is>
      </c>
      <c r="B31" s="17" t="inlineStr">
        <is>
          <t>Ván khuôn tường chắn</t>
        </is>
      </c>
      <c r="C31" s="13" t="inlineStr">
        <is>
          <t>m2</t>
        </is>
      </c>
      <c r="D31" s="12" t="inlineStr">
        <is>
          <t>Thành vách tường chắn</t>
        </is>
      </c>
      <c r="E31" s="18">
        <f>ROUND(1*194.03, 2)</f>
        <v/>
      </c>
      <c r="F31" s="12" t="inlineStr">
        <is>
          <t>Cốp pha định hình</t>
        </is>
      </c>
    </row>
    <row r="32" ht="20" customHeight="1">
      <c r="A32" s="7" t="inlineStr">
        <is>
          <t>23</t>
        </is>
      </c>
      <c r="B32" s="15" t="inlineStr">
        <is>
          <t>Ống thoát nước tường chắn D90</t>
        </is>
      </c>
      <c r="C32" s="9" t="inlineStr">
        <is>
          <t>m</t>
        </is>
      </c>
      <c r="D32" s="8" t="inlineStr">
        <is>
          <t>Ống lọc thoát nước qua thân tường</t>
        </is>
      </c>
      <c r="E32" s="16">
        <f>ROUND(1*21.4, 1)</f>
        <v/>
      </c>
      <c r="F32" s="8" t="inlineStr">
        <is>
          <t>uPVC D90 khoan lỗ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4"/>
  <cols>
    <col width="10" customWidth="1" min="1" max="1"/>
    <col width="32" customWidth="1" min="2" max="2"/>
    <col width="28" customWidth="1" min="3" max="3"/>
    <col width="25" customWidth="1" min="4" max="4"/>
    <col width="24" customWidth="1" min="5" max="5"/>
    <col width="25" customWidth="1" min="6" max="6"/>
    <col width="50" customWidth="1" min="7" max="7"/>
  </cols>
  <sheetData>
    <row r="1" ht="20" customHeight="1">
      <c r="A1" s="1" t="inlineStr">
        <is>
          <t>BẢNG ĐỐI SOÁT CHÉO 3 CHIỀU HÌNH HỌC CAD VÀ CẢNH BÁO ĐỎ (RED FLAGS)</t>
        </is>
      </c>
    </row>
    <row r="2" ht="14.5" customHeight="1">
      <c r="A2" s="2" t="inlineStr">
        <is>
          <t>Đối chiếu: [1] Thực thể CAD đo thật (AutoCAD 2026 Engine) &lt;-&gt; [2] Chữ số Dim bản vẽ &lt;-&gt; [3] Bảng tính THKL TVTK</t>
        </is>
      </c>
    </row>
    <row r="4" ht="28" customHeight="1">
      <c r="A4" s="3" t="inlineStr">
        <is>
          <t>STT</t>
        </is>
      </c>
      <c r="B4" s="3" t="inlineStr">
        <is>
          <t>Hạng mục / Cấu kiện kiểm toán</t>
        </is>
      </c>
      <c r="C4" s="3" t="inlineStr">
        <is>
          <t>Thực thể CAD đo thật (mm)</t>
        </is>
      </c>
      <c r="D4" s="3" t="inlineStr">
        <is>
          <t>Chữ số Dim/Text bản vẽ</t>
        </is>
      </c>
      <c r="E4" s="3" t="inlineStr">
        <is>
          <t>Số liệu THKL của TVTK</t>
        </is>
      </c>
      <c r="F4" s="3" t="inlineStr">
        <is>
          <t>Tình trạng khớp nối</t>
        </is>
      </c>
      <c r="G4" s="3" t="inlineStr">
        <is>
          <t>Đánh giá &amp; Cờ cảnh báo đỏ (Red Flag)</t>
        </is>
      </c>
    </row>
    <row r="5" ht="22" customHeight="1">
      <c r="A5" s="11" t="inlineStr">
        <is>
          <t>1</t>
        </is>
      </c>
      <c r="B5" s="17" t="inlineStr">
        <is>
          <t>Chiều dài dầm chủ Super T</t>
        </is>
      </c>
      <c r="C5" s="13" t="inlineStr">
        <is>
          <t>38,200 mm</t>
        </is>
      </c>
      <c r="D5" s="13" t="inlineStr">
        <is>
          <t>38200</t>
        </is>
      </c>
      <c r="E5" s="13" t="inlineStr">
        <is>
          <t>38.20 m</t>
        </is>
      </c>
      <c r="F5" s="13" t="inlineStr">
        <is>
          <t>Khớp 100%</t>
        </is>
      </c>
      <c r="G5" s="12" t="inlineStr">
        <is>
          <t>Chuẩn thiết kế định hình TCVN</t>
        </is>
      </c>
    </row>
    <row r="6" ht="22" customHeight="1">
      <c r="A6" s="7" t="inlineStr">
        <is>
          <t>2</t>
        </is>
      </c>
      <c r="B6" s="15" t="inlineStr">
        <is>
          <t>Bước khoang sườn dầm</t>
        </is>
      </c>
      <c r="C6" s="9" t="inlineStr">
        <is>
          <t>32,000 mm</t>
        </is>
      </c>
      <c r="D6" s="9" t="inlineStr">
        <is>
          <t>4x8000=&lt;&gt;</t>
        </is>
      </c>
      <c r="E6" s="9" t="inlineStr">
        <is>
          <t>4 x 8.0 m</t>
        </is>
      </c>
      <c r="F6" s="9" t="inlineStr">
        <is>
          <t>Khớp 100%</t>
        </is>
      </c>
      <c r="G6" s="8" t="inlineStr">
        <is>
          <t>TVTK dùng Text override '4x8000=&lt;&gt;', ruột đo thật 32000mm</t>
        </is>
      </c>
    </row>
    <row r="7" ht="22" customHeight="1">
      <c r="A7" s="11" t="inlineStr">
        <is>
          <t>3</t>
        </is>
      </c>
      <c r="B7" s="17" t="inlineStr">
        <is>
          <t>Chiều cao dầm Super T</t>
        </is>
      </c>
      <c r="C7" s="13" t="inlineStr">
        <is>
          <t>1,750 mm</t>
        </is>
      </c>
      <c r="D7" s="13" t="inlineStr">
        <is>
          <t>1750</t>
        </is>
      </c>
      <c r="E7" s="13" t="inlineStr">
        <is>
          <t>1.75 m</t>
        </is>
      </c>
      <c r="F7" s="13" t="inlineStr">
        <is>
          <t>Khớp 100%</t>
        </is>
      </c>
      <c r="G7" s="12" t="inlineStr">
        <is>
          <t>Chuẩn dầm Super T H=1.75m</t>
        </is>
      </c>
    </row>
    <row r="8" ht="22" customHeight="1">
      <c r="A8" s="7" t="inlineStr">
        <is>
          <t>4</t>
        </is>
      </c>
      <c r="B8" s="15" t="inlineStr">
        <is>
          <t>Bề rộng cánh dầm giữa nhịp</t>
        </is>
      </c>
      <c r="C8" s="9" t="inlineStr">
        <is>
          <t>2,130 mm</t>
        </is>
      </c>
      <c r="D8" s="9" t="inlineStr">
        <is>
          <t>2130</t>
        </is>
      </c>
      <c r="E8" s="9" t="inlineStr">
        <is>
          <t>2.13 m</t>
        </is>
      </c>
      <c r="F8" s="9" t="inlineStr">
        <is>
          <t>Khớp 100%</t>
        </is>
      </c>
      <c r="G8" s="8" t="inlineStr">
        <is>
          <t>Cánh dầm trong điển hình</t>
        </is>
      </c>
    </row>
    <row r="9" ht="22" customHeight="1">
      <c r="A9" s="11" t="inlineStr">
        <is>
          <t>5</t>
        </is>
      </c>
      <c r="B9" s="17" t="inlineStr">
        <is>
          <t>Bề rộng cánh dầm đầu nhịp</t>
        </is>
      </c>
      <c r="C9" s="13" t="inlineStr">
        <is>
          <t>2,645 mm</t>
        </is>
      </c>
      <c r="D9" s="13" t="inlineStr">
        <is>
          <t>2645</t>
        </is>
      </c>
      <c r="E9" s="13" t="inlineStr">
        <is>
          <t>2.645 m</t>
        </is>
      </c>
      <c r="F9" s="13" t="inlineStr">
        <is>
          <t>Khớp 100%</t>
        </is>
      </c>
      <c r="G9" s="12" t="inlineStr">
        <is>
          <t>Mở rộng bầu và cánh tại đoạn đặc đầu dầm</t>
        </is>
      </c>
    </row>
    <row r="10" ht="22" customHeight="1">
      <c r="A10" s="7" t="inlineStr">
        <is>
          <t>6</t>
        </is>
      </c>
      <c r="B10" s="15" t="inlineStr">
        <is>
          <t>Bề rộng xà mũ mố M1, M2</t>
        </is>
      </c>
      <c r="C10" s="9" t="inlineStr">
        <is>
          <t>11,750 mm</t>
        </is>
      </c>
      <c r="D10" s="9" t="inlineStr">
        <is>
          <t>11750</t>
        </is>
      </c>
      <c r="E10" s="9" t="inlineStr">
        <is>
          <t>11.75 m</t>
        </is>
      </c>
      <c r="F10" s="9" t="inlineStr">
        <is>
          <t>Khớp 100%</t>
        </is>
      </c>
      <c r="G10" s="8" t="inlineStr">
        <is>
          <t>Xà mũ mố phù hợp bề rộng cầu B=12.0m</t>
        </is>
      </c>
    </row>
    <row r="11" ht="22" customHeight="1">
      <c r="A11" s="29" t="inlineStr">
        <is>
          <t>7</t>
        </is>
      </c>
      <c r="B11" s="30" t="inlineStr">
        <is>
          <t>Bề rộng tổng thể bệ mố</t>
        </is>
      </c>
      <c r="C11" s="29" t="inlineStr">
        <is>
          <t>12,515 mm</t>
        </is>
      </c>
      <c r="D11" s="29" t="inlineStr">
        <is>
          <t>12515</t>
        </is>
      </c>
      <c r="E11" s="29" t="inlineStr">
        <is>
          <t>12.50 m</t>
        </is>
      </c>
      <c r="F11" s="31" t="inlineStr">
        <is>
          <t>Vênh 15mm</t>
        </is>
      </c>
      <c r="G11" s="32" t="inlineStr">
        <is>
          <t>CẢNH BÁO: TVTK làm tròn 12.50m trong Excel gây hụt 15mm bệ mố</t>
        </is>
      </c>
    </row>
    <row r="12" ht="22" customHeight="1">
      <c r="A12" s="7" t="inlineStr">
        <is>
          <t>8</t>
        </is>
      </c>
      <c r="B12" s="15" t="inlineStr">
        <is>
          <t>Bề rộng phần thẳng thân trụ đặc (B1)</t>
        </is>
      </c>
      <c r="C12" s="9" t="inlineStr">
        <is>
          <t>3,500 mm</t>
        </is>
      </c>
      <c r="D12" s="9" t="inlineStr">
        <is>
          <t>3500</t>
        </is>
      </c>
      <c r="E12" s="9" t="inlineStr">
        <is>
          <t>B1 = 3.50 m</t>
        </is>
      </c>
      <c r="F12" s="9" t="inlineStr">
        <is>
          <t>Khớp 100%</t>
        </is>
      </c>
      <c r="G12" s="8" t="inlineStr">
        <is>
          <t>Thân trụ đặc 3 đốt vát bậc: phần thẳng B1=3.50m + 2 đầu bán nguyệt R=750/1050/1350mm</t>
        </is>
      </c>
    </row>
    <row r="13" ht="22" customHeight="1">
      <c r="A13" s="11" t="inlineStr">
        <is>
          <t>9</t>
        </is>
      </c>
      <c r="B13" s="17" t="inlineStr">
        <is>
          <t>Chiều dài xà mũ trụ T1, T2</t>
        </is>
      </c>
      <c r="C13" s="13" t="inlineStr">
        <is>
          <t>11,600 mm</t>
        </is>
      </c>
      <c r="D13" s="13" t="inlineStr">
        <is>
          <t>11600</t>
        </is>
      </c>
      <c r="E13" s="13" t="inlineStr">
        <is>
          <t>11.60 m</t>
        </is>
      </c>
      <c r="F13" s="13" t="inlineStr">
        <is>
          <t>Khớp 100%</t>
        </is>
      </c>
      <c r="G13" s="12" t="inlineStr">
        <is>
          <t>Xà mũ consol 11.6m</t>
        </is>
      </c>
    </row>
    <row r="14" ht="22" customHeight="1">
      <c r="A14" s="7" t="inlineStr">
        <is>
          <t>10</t>
        </is>
      </c>
      <c r="B14" s="15" t="inlineStr">
        <is>
          <t>Đường kính cọc khoan nhồi</t>
        </is>
      </c>
      <c r="C14" s="9" t="inlineStr">
        <is>
          <t>1,200 mm</t>
        </is>
      </c>
      <c r="D14" s="9" t="inlineStr">
        <is>
          <t>D1200</t>
        </is>
      </c>
      <c r="E14" s="9" t="inlineStr">
        <is>
          <t>D=1.20 m</t>
        </is>
      </c>
      <c r="F14" s="9" t="inlineStr">
        <is>
          <t>Khớp 100%</t>
        </is>
      </c>
      <c r="G14" s="8" t="inlineStr">
        <is>
          <t>26 cọc đại trà D1200</t>
        </is>
      </c>
    </row>
    <row r="15" ht="22" customHeight="1">
      <c r="A15" s="11" t="inlineStr">
        <is>
          <t>11</t>
        </is>
      </c>
      <c r="B15" s="17" t="inlineStr">
        <is>
          <t>Kiểm tra cao độ Z bản vẽ Trụ</t>
        </is>
      </c>
      <c r="C15" s="13" t="inlineStr">
        <is>
          <t>2,401 nét Z != 0</t>
        </is>
      </c>
      <c r="D15" s="13" t="inlineStr">
        <is>
          <t>Không ghi chú</t>
        </is>
      </c>
      <c r="E15" s="13" t="inlineStr">
        <is>
          <t>Chưa kiểm tra</t>
        </is>
      </c>
      <c r="F15" s="13" t="inlineStr">
        <is>
          <t>RED FLAG CỰC NGUY HIỂM</t>
        </is>
      </c>
      <c r="G15" s="12" t="inlineStr">
        <is>
          <t>39.3% số nét bị dính Z!=0 do copy từ 3D, cấm dùng lệnh DIST đo xiên!</t>
        </is>
      </c>
    </row>
    <row r="16" ht="22" customHeight="1">
      <c r="A16" s="7" t="inlineStr">
        <is>
          <t>12</t>
        </is>
      </c>
      <c r="B16" s="15" t="inlineStr">
        <is>
          <t>Kiểm tra cao độ Z bản vẽ Mố</t>
        </is>
      </c>
      <c r="C16" s="9" t="inlineStr">
        <is>
          <t>110 nét Z != 0</t>
        </is>
      </c>
      <c r="D16" s="9" t="inlineStr">
        <is>
          <t>Không ghi chú</t>
        </is>
      </c>
      <c r="E16" s="9" t="inlineStr">
        <is>
          <t>Chưa kiểm tra</t>
        </is>
      </c>
      <c r="F16" s="9" t="inlineStr">
        <is>
          <t>CẢNH BÁO</t>
        </is>
      </c>
      <c r="G16" s="8" t="inlineStr">
        <is>
          <t>110 nét bị lệch cao độ 3D, cần dùng FLATTEN trước khi đo</t>
        </is>
      </c>
    </row>
    <row r="17" ht="22" customHeight="1">
      <c r="A17" s="11" t="inlineStr">
        <is>
          <t>13</t>
        </is>
      </c>
      <c r="B17" s="17" t="inlineStr">
        <is>
          <t>Lỗi công thức #REF! của TVTK</t>
        </is>
      </c>
      <c r="C17" s="13" t="inlineStr">
        <is>
          <t>18 ô bị #REF!</t>
        </is>
      </c>
      <c r="D17" s="13" t="inlineStr">
        <is>
          <t>Hồ sơ gốc bị lỗi</t>
        </is>
      </c>
      <c r="E17" s="13" t="inlineStr">
        <is>
          <t>Ghi đè số chết</t>
        </is>
      </c>
      <c r="F17" s="13" t="inlineStr">
        <is>
          <t>ĐÃ KHỬ 100%</t>
        </is>
      </c>
      <c r="G17" s="12" t="inlineStr">
        <is>
          <t>Antigravity đã tái lập hoàn toàn bằng 330 công thức sống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"/>
  <cols>
    <col width="12" customWidth="1" min="1" max="1"/>
    <col width="28" customWidth="1" min="2" max="2"/>
    <col width="42" customWidth="1" min="3" max="3"/>
    <col width="25" customWidth="1" min="4" max="4"/>
    <col width="45" customWidth="1" min="5" max="5"/>
    <col width="42" customWidth="1" min="6" max="6"/>
    <col width="40" customWidth="1" min="7" max="7"/>
  </cols>
  <sheetData>
    <row r="1" ht="20" customHeight="1">
      <c r="A1" s="1" t="inlineStr">
        <is>
          <t>SƠ ĐỒ CẤU THÀNH VI MÔ VÀ CHUỖI LẮP GHÉP KHÔNG GIAN TOÀN CẦU (STRUCTURAL ASSEMBLY MATRIX)</t>
        </is>
      </c>
    </row>
    <row r="2" ht="14.5" customHeight="1">
      <c r="A2" s="2" t="inlineStr">
        <is>
          <t>Diễn giải tầng sâu cơ chế tích tụ khối lượng: Từ Vi mô (Thép, bê tông, cáp, phụ kiện) -&gt; Cấu kiện -&gt; Hệ thống -&gt; Toàn Cầu</t>
        </is>
      </c>
    </row>
    <row r="4" ht="28" customHeight="1">
      <c r="A4" s="3" t="inlineStr">
        <is>
          <t>Tầng kết cấu</t>
        </is>
      </c>
      <c r="B4" s="3" t="inlineStr">
        <is>
          <t>Hạng mục cấu kiện lớn (Macro-Component)</t>
        </is>
      </c>
      <c r="C4" s="3" t="inlineStr">
        <is>
          <t>Các phân tử vi mô cấu thành (Micro-Elements)</t>
        </is>
      </c>
      <c r="D4" s="3" t="inlineStr">
        <is>
          <t>Vật liệu &amp; Quy cách kỹ thuật</t>
        </is>
      </c>
      <c r="E4" s="3" t="inlineStr">
        <is>
          <t>Cơ chế liên kết / Khớp nối không gian (Interface &amp; Assembly)</t>
        </is>
      </c>
      <c r="F4" s="3" t="inlineStr">
        <is>
          <t>Công thức tích tụ khối lượng (Mass Accumulation Formula)</t>
        </is>
      </c>
      <c r="G4" s="3" t="inlineStr">
        <is>
          <t>Vai trò truyền lực trong toàn cầu (Global Load Path)</t>
        </is>
      </c>
    </row>
    <row r="5" ht="110" customHeight="1">
      <c r="A5" s="11" t="inlineStr">
        <is>
          <t>TẦNG 1</t>
        </is>
      </c>
      <c r="B5" s="11" t="inlineStr">
        <is>
          <t>MÓNG CỌC KHOAN NHỒI D1200</t>
        </is>
      </c>
      <c r="C5" s="33" t="inlineStr">
        <is>
          <t>• Lỗ khoan trong đất/đá phi 1200mm
• Lồng cốt thép chủ D25 nối cóc ren
• Vành đai định vị D16 + Đai xoắn D10
• 4 Ống siêu âm sonic (3D60 + 1D114)
• Bê tông C30/38 đổ dưới bentonite
• Đập bỏ 1.0m bê tông đầu cọc nhiễm bùn</t>
        </is>
      </c>
      <c r="D5" s="34" t="inlineStr">
        <is>
          <t>Bê tông C30/38
Thép CB400V/CB240T
Ống thép mạ kẽm
Dung dịch Bentonite</t>
        </is>
      </c>
      <c r="E5" s="33" t="inlineStr">
        <is>
          <t>• Đầu cọc sau đập bộc lộ thép chủ D25 dài &gt;= 80cm cắm vào bệ.
• Ngàm sâu 150mm bê tông thân cọc vào đáy bệ móng.
• Mũi cọc ngàm vào tầng cuội sỏi / đá cát kết chịu lực.</t>
        </is>
      </c>
      <c r="F5" s="17" t="inlineStr">
        <is>
          <t>V_bt = 26 cọc x [pi x (D/2)^2 x L] x 1.02
M_thep = L_thep x q_thep + Cóc nối
L_khoan = 7x20m(M1) + 8x40m(T1) + 8x30m(T2) + 7x36m(M2) = 872m</t>
        </is>
      </c>
      <c r="G5" s="33" t="inlineStr">
        <is>
          <t>Tiếp nhận 100% tải trọng từ mố/trụ truyền qua ma sát thành bên và sức kháng mũi cọc xuống địa tầng gốc.</t>
        </is>
      </c>
    </row>
    <row r="6" ht="110" customHeight="1">
      <c r="A6" s="7" t="inlineStr">
        <is>
          <t>TẦNG 2</t>
        </is>
      </c>
      <c r="B6" s="7" t="inlineStr">
        <is>
          <t>BỆ MÓNG MỐ &amp; TRỤ (FOOTINGS)</t>
        </is>
      </c>
      <c r="C6" s="35" t="inlineStr">
        <is>
          <t>• Lớp bê tông đệm C10 dày 100mm
• Khối hộp bê tông C30/38 có vát cạnh
• Lưới thép đáy chịu uốn chính F1/B1 (D28)
• Lưới thép trên cấu tạo F3/B3 (D28/D18)
• Thép đai chống cắt &amp; giữ cự ly F6/B5
• Thép chờ thân mố (A1) &amp; trụ (T1) cắm sẵn</t>
        </is>
      </c>
      <c r="D6" s="36" t="inlineStr">
        <is>
          <t>Bê tông C30/38 (đá 1x2)
Bê tông lót C10/12
Cốt thép CB400V
Sơn nhựa đường Bitum 2 lớp</t>
        </is>
      </c>
      <c r="E6" s="35" t="inlineStr">
        <is>
          <t>• Ôm trọn và ngàm cứng 7 đầu cọc (mố) hoặc 8 đầu cọc (trụ).
• Thép chờ thân mố A1 (D22) và thân trụ T1 (D32) cắm sâu vào lưới bệ &gt;= 40d.
• Quét bitum 2 lớp bảo vệ mặt ngoài ngập đất.</t>
        </is>
      </c>
      <c r="F6" s="15" t="inlineStr">
        <is>
          <t>V_be = L x B x H - N_coc x [pi x (D/2)^2 x 0.15]
M_thep = Sigma(L_i x n_i x q_i) + Thép chờ
Tổng bê tông: 2 Bệ mố (148.99m3) + 2 Bệ trụ (368.49m3)</t>
        </is>
      </c>
      <c r="G6" s="35" t="inlineStr">
        <is>
          <t>Phân phối tải trọng tập trung từ thân cột/tường mố phân tỏa đều ra cụm 7-8 cọc khoan nhồi.</t>
        </is>
      </c>
    </row>
    <row r="7" ht="110" customHeight="1">
      <c r="A7" s="11" t="inlineStr">
        <is>
          <t>TẦNG 3</t>
        </is>
      </c>
      <c r="B7" s="11" t="inlineStr">
        <is>
          <t>THÂN MỐ &amp; THÂN TRỤ (COLUMNS &amp; WALLS)</t>
        </is>
      </c>
      <c r="C7" s="33" t="inlineStr">
        <is>
          <t>• Thân trụ: Trụ đặc 3 đốt vát bậc hình chữ nhật bo 2 đầu bán nguyệt (B1=3.5m, R=0.75/1.05/1.35m)
• Thân mố: Tường thân BTCT C30 dày 1.50-2.00m</t>
        </is>
      </c>
      <c r="D7" s="34" t="inlineStr">
        <is>
          <t>Bê tông C30/38
Cốt thép CB400V
Ống uPVC D60/125/315
Vải địa kỹ thuật lọc nước</t>
        </is>
      </c>
      <c r="E7" s="33" t="inlineStr">
        <is>
          <t>• Nối chồng/hàn lồng thép thân với râu thép chờ từ bệ (chiều dài nối &gt;= 40d).
• Ngàm ngàm cứng nguyên khối với xà mũ đỉnh trụ qua hệ thép uốn âm.
• Tường cánh mố liên kết ngàm nguyên khối với tường thân mố tạo hộp cứng chữ U.</t>
        </is>
      </c>
      <c r="F7" s="17" t="inlineStr">
        <is>
          <t>V_tru = Sum(B1*W_i*H_i + pi*R_i^2*H_i) = 501.71 m3
V_mo = 52.96 m3 (M1) + 115.91 m3 (M2) = 168.87 m3</t>
        </is>
      </c>
      <c r="G7" s="33" t="inlineStr">
        <is>
          <t>Chịu lực nén uốn dọc tâm và lệch tâm từ kết cấu nhịp; chịu áp lực đất chủ động và lực đẩy ngang sau mố.</t>
        </is>
      </c>
    </row>
    <row r="8" ht="110" customHeight="1">
      <c r="A8" s="7" t="inlineStr">
        <is>
          <t>TẦNG 4</t>
        </is>
      </c>
      <c r="B8" s="7" t="inlineStr">
        <is>
          <t>XÀ MŨ, ĐÁ KÊ GỐI &amp; Ụ CHỐNG XÔ (CAP BEAMS &amp; SHEAR KEYS)</t>
        </is>
      </c>
      <c r="C8" s="35" t="inlineStr">
        <is>
          <t>• Dầm xà mũ consol BTCT C30 dài 11.6m
• Hệ cốt thép chịu momen âm xà mũ (XM1..XM10)
• 20 Thớt đá kê gối mố trụ (C30/C40)
• Ụ bê tông chống xô ngang &amp; động đất
• Chốt thép mạ kẽm D32 x 650mm
• Hộp chốt thép tấm &amp; cao su đệm đàn hồi 20mm
• Lớp vữa đệm gối không co ngót SikaGrout</t>
        </is>
      </c>
      <c r="D8" s="36" t="inlineStr">
        <is>
          <t>Bê tông C30/38
Vữa SikaGrout 214-11 (C40)
Thép mạ kẽm D32
Cao su kỹ thuật 20mm</t>
        </is>
      </c>
      <c r="E8" s="35" t="inlineStr">
        <is>
          <t>• Đúc liền khối trên đỉnh 2 thân cột trụ tạo thành khung cổng Portal Frame.
• Mặt trên xà mũ hoàn thiện tạo dốc thoát nước 2%.
• Đá kê gối đúc nổi trên xà mũ, gắn bu lông neo gối M20 và chốt thép chống dịch chuyển dầm.</t>
        </is>
      </c>
      <c r="F8" s="15" t="inlineStr">
        <is>
          <t>V_xamu = 2 trụ x [L x B x H_tb + V_consol] = 145.03 m3
M_thep_xm = 88.35 Tấn (thép D32, D16)
V_vữa = 0.261 m3 vữa không co ngót</t>
        </is>
      </c>
      <c r="G8" s="35" t="inlineStr">
        <is>
          <t>Chuyển tiếp phản lực điểm từ 10 gối dầm Super T phân bố vào 2 thân cột tròn; khống chế chuyển vị ngang của dầm dưới gió bão.</t>
        </is>
      </c>
    </row>
    <row r="9" ht="110" customHeight="1">
      <c r="A9" s="11" t="inlineStr">
        <is>
          <t>TẦNG 5</t>
        </is>
      </c>
      <c r="B9" s="11" t="inlineStr">
        <is>
          <t>GỐI CẦU &amp; DẦM CHỦ SUPER T 38.2M (GIRDERS &amp; BEARINGS)</t>
        </is>
      </c>
      <c r="C9" s="33" t="inlineStr">
        <is>
          <t>• 30 Gối chậu Pot Bearing (15 đơn hướng + 15 song hướng)
• 15 Phiến dầm Super T đúc sẵn dài 38.2m, cao 1.75m
• 44 Tao cáp DUL 15.2mm/dầm (kéo trước fpu=1860MPa)
• Đoạn đặc đầu dầm 1.35m x 2 + Đoạn sườn 180mm
• Ống nhựa PVC D18/22 bọc giảm dính bám 240m/dầm
• Thép đai chống cắt sườn dầm &amp; thép bản cánh (A1..G8)
• Thép tấm mạ kẽm đáy dầm + Móc cẩu dầm DUL 15.2mm</t>
        </is>
      </c>
      <c r="D9" s="34" t="inlineStr">
        <is>
          <t>Bê tông C45/55 (đá 1x2)
Cáp DUL 15.2mm ASTM A416
Thép CB400V
Gối chậu thép hợp kim + PTFE
Ống PVC D18/22 &amp; D50</t>
        </is>
      </c>
      <c r="E9" s="33" t="inlineStr">
        <is>
          <t>• Dầm gác tự do lên 2 hàng gối chậu qua bản thép đệm gối và chốt định vị.
• Giàn lao dầm cẩu đặt dầm chính xác vào tọa độ thiết kế.
• Đầu dầm quét Epoxy cách ẩm; lỗ thông hơi PVC D50 thoát ẩm lòng bầu.</t>
        </is>
      </c>
      <c r="F9" s="17" t="inlineStr">
        <is>
          <t>V_dam = 15 dầm x 28.987 m3 = 434.80 m3
P_cap = 15 dầm x 44 tao x 41.2m x 1.101 = 29.91 Tấn
M_thep_dam = 89.69 Tấn (D10..D25)
S_vankhuon = 5,098.77 m2</t>
        </is>
      </c>
      <c r="G9" s="33" t="inlineStr">
        <is>
          <t>Là xương sống chịu lực uốn chính của cầu, vượt khẩu độ 39.1m - 40m - 39.1m, tạo độ vồng ngược kháng lại tải trọng xe chạy.</t>
        </is>
      </c>
    </row>
    <row r="10" ht="110" customHeight="1">
      <c r="A10" s="7" t="inlineStr">
        <is>
          <t>TẦNG 6</t>
        </is>
      </c>
      <c r="B10" s="7" t="inlineStr">
        <is>
          <t>DẦM NGANG, TẤM ĐAN PRECAST &amp; BẢN MẶT CẦU (DECK ASSEMBLY)</t>
        </is>
      </c>
      <c r="C10" s="35" t="inlineStr">
        <is>
          <t>• Dầm ngang đầu dầm BTCT C35 đổ tại chỗ
• 510 Tấm ván khuôn đúc sẵn (Stay-in-place panel) C25
• Bản mặt cầu BTCT C35 dày 200mm đổ tại chỗ
• Mối nối liên tục nhiệt (Link slab) đỉnh trụ T1, T2
• Lưới cốt thép mặt cầu 2 lớp S1, S2 (D14, D18)
• Lớp cao su đệm dày 20mm &amp; xốp chèn khe nhiệt</t>
        </is>
      </c>
      <c r="D10" s="36" t="inlineStr">
        <is>
          <t>Bê tông C35/45
Bê tông panel C25
Cốt thép CB400V
Cao su chèn khe</t>
        </is>
      </c>
      <c r="E10" s="35" t="inlineStr">
        <is>
          <t>• 510 Tấm đan gác lên mép cánh trên của dầm Super T làm cốp pha đáy vĩnh cửu.
• Dầm ngang đúc chèn giữa các dầm chủ khóa cứng dao động xoắn ngang.
• Bản mặt cầu đổ trùm lên trên cánh dầm và tấm đan tạo thành TIẾT DIỆN LIÊN HỢP (Composite Section).
• Mối nối liên tục nhiệt nối liền 3 nhịp thành 1 dải mặt cầu 118.2m không khe co giãn giữa trụ.</t>
        </is>
      </c>
      <c r="F10" s="15" t="inlineStr">
        <is>
          <t>V_bmc = 305.46 m3 (mặt cầu) + 21.87 m3 (liên tục nhiệt) = 327.33 m3
V_damngang = 19.38 m3 | V_panel = 13.23 m3 (510 tấm)
M_thep_bmc = 85.59 Tấn | M_thep_damngang = 2.76 Tấn</t>
        </is>
      </c>
      <c r="G10" s="35" t="inlineStr">
        <is>
          <t>Liên kết 5 phiến dầm rời rạc thành một đĩa cứng không gian (Spatial Rigid Diaphragm), phân phối tải trọng xe chạy đều sang các dầm.</t>
        </is>
      </c>
    </row>
    <row r="11" ht="110" customHeight="1">
      <c r="A11" s="11" t="inlineStr">
        <is>
          <t>TẦNG 7</t>
        </is>
      </c>
      <c r="B11" s="11" t="inlineStr">
        <is>
          <t>HOÀN THIỆN MẶT CẦU, KHE CO GIÃN, THOÁT NƯỚC &amp; ĐẦU CẦU</t>
        </is>
      </c>
      <c r="C11" s="33" t="inlineStr">
        <is>
          <t>• Lớp phòng nước phun thẩm thấu mặt cầu
• Nhựa dính bám Tack coat 0.5 kg/m2
• Bê tông nhựa chặt C16 dày 7cm (1380.39 m2)
• Gờ chắn bánh BTCT C25 + Lan can thép mạ kẽm
• 2 Bộ khe co giãn ray răng lược D100mm tại 2 mố
• 24 Bộ hố gang thu nước + Ống uPVC D150 thoát nước
• 2 Bản quá độ BTCT C25 (L=5.0m, B=12.5m) sau mố
• Tứ nón đá hộc xây VXM M100 + Tường chắn trọng lực C15</t>
        </is>
      </c>
      <c r="D11" s="34" t="inlineStr">
        <is>
          <t>Bê tông nhựa C16
Nhựa dính bám
Bê tông C25 &amp; C15
Thép mạ kẽm nhúng nóng
Đá hộc &amp; đá dăm</t>
        </is>
      </c>
      <c r="E11" s="33" t="inlineStr">
        <is>
          <t>• Bản quá độ 1 đầu tựa lên gờ tường đỉnh mố (ngàm khớp chốt D32), 1 đầu gác gối cao su trên nền đường.
• Khe co giãn răng lược gắn chìm bằng bê tông không co ngót C40 ngăn nước rò rỉ xuống mố.
• Hệ thống thoát nước thu gom nước mặt cầu xả xuống rãnh hạ lưu không gây xói chân cầu.</t>
        </is>
      </c>
      <c r="F11" s="17" t="inlineStr">
        <is>
          <t>S_asphalt = 1,380.39 m2 (~231.9 Tấn BTN)
V_banquado = 67.38 m3 (2 bản) | M_thep = 9.53 Tấn
V_tunon = 104.74 m3 đá hộc | V_tuongchan = 115.88 m3
L_khecogian = 24.5 m (2 bộ khe răng lược)</t>
        </is>
      </c>
      <c r="G11" s="33" t="inlineStr">
        <is>
          <t>Đảm bảo an toàn giao thông êm thuận ở tốc độ thiết kế, triệt tiêu lún lệch đầu cầu và thoát nước bảo vệ tuổi thọ công trình 100 năm.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2026-10-09T14:13:24Z</dcterms:created>
  <dcterms:modified xmlns:dcterms="http://purl.org/dc/terms/" xmlns:xsi="http://www.w3.org/2001/XMLSchema-instance" xsi:type="dcterms:W3CDTF">2026-10-14T03:26:49Z</dcterms:modified>
  <cp:lastModifiedBy>tu nguyen</cp:lastModifiedBy>
</cp:coreProperties>
</file>