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D19ED8ED-3501-480B-901E-B149850B2909}" xr6:coauthVersionLast="47" xr6:coauthVersionMax="47" xr10:uidLastSave="{00000000-0000-0000-0000-000000000000}"/>
  <bookViews>
    <workbookView xWindow="3000" yWindow="0" windowWidth="12980" windowHeight="15280" firstSheet="1" activeTab="1" xr2:uid="{00000000-000D-0000-FFFF-FFFF00000000}"/>
  </bookViews>
  <sheets>
    <sheet name="00_DASHBOARD_365" sheetId="1" r:id="rId1"/>
    <sheet name="00_DIEN_GIAI_HINH_HOC_CAD" sheetId="2" r:id="rId2"/>
    <sheet name="00_TONG_HOP_HA_BO" sheetId="3" r:id="rId3"/>
    <sheet name="01_MO_M1_M2" sheetId="4" r:id="rId4"/>
    <sheet name="02_TRU_T1" sheetId="5" r:id="rId5"/>
    <sheet name="02_TRU_T2" sheetId="6" r:id="rId6"/>
    <sheet name="02_SO_SANH_T1_T2" sheetId="7" r:id="rId7"/>
    <sheet name="02b_BBS_THEP_TRU_T1_T2" sheetId="8" r:id="rId8"/>
    <sheet name="03_COC_D1200" sheetId="9" r:id="rId9"/>
  </sheets>
  <definedNames>
    <definedName name="S_FORMWORK_BOX">_xlfn.LAMBDA(_xlpm.qty,_xlpm.L,_xlpm.W,_xlpm.H,_xlpm.qty*2*(_xlpm.L+_xlpm.W)*_xlpm.H)</definedName>
    <definedName name="S_FORMWORK_TRI">_xlfn.LAMBDA(_xlpm.qty,_xlpm.B,_xlpm.H,_xlpm.qty*_xlpm.B*_xlpm.H*0.5)</definedName>
    <definedName name="STEEL_RATIO">_xlfn.LAMBDA(_xlpm.steel_kg,_xlpm.conc_m3,_xlpm.steel_kg/_xlpm.conc_m3)</definedName>
    <definedName name="V_CYLINDER">_xlfn.LAMBDA(_xlpm.qty,_xlpm.L,_xlpm.D,_xlpm.qty*PI()*(_xlpm.D/2)^2*_xlpm.L)</definedName>
    <definedName name="V_FRUSTUM">_xlfn.LAMBDA(_xlpm.qty,_xlpm.H,_xlpm.S1,_xlpm.S2,_xlpm.qty*(_xlpm.H/3)*(_xlpm.S1+_xlpm.S2+SQRT(_xlpm.S1*_xlpm.S2)))</definedName>
    <definedName name="V_PRISM">_xlfn.LAMBDA(_xlpm.qty,_xlpm.L,_xlpm.W,_xlpm.H,_xlpm.qty*_xlpm.L*_xlpm.W*_xlpm.H)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9" l="1"/>
  <c r="J9" i="9"/>
  <c r="I9" i="9"/>
  <c r="H9" i="9"/>
  <c r="C9" i="9"/>
  <c r="E8" i="9"/>
  <c r="E7" i="9"/>
  <c r="E6" i="9"/>
  <c r="E5" i="9"/>
  <c r="L18" i="8"/>
  <c r="K18" i="8"/>
  <c r="G18" i="8"/>
  <c r="L17" i="8"/>
  <c r="K17" i="8"/>
  <c r="G17" i="8"/>
  <c r="L16" i="8"/>
  <c r="K16" i="8"/>
  <c r="G16" i="8"/>
  <c r="L15" i="8"/>
  <c r="K15" i="8"/>
  <c r="G15" i="8"/>
  <c r="L14" i="8"/>
  <c r="K14" i="8"/>
  <c r="G14" i="8"/>
  <c r="L13" i="8"/>
  <c r="K13" i="8"/>
  <c r="M13" i="8" s="1"/>
  <c r="G13" i="8"/>
  <c r="M12" i="8"/>
  <c r="L12" i="8"/>
  <c r="K12" i="8"/>
  <c r="G12" i="8"/>
  <c r="L11" i="8"/>
  <c r="K11" i="8"/>
  <c r="G11" i="8"/>
  <c r="L10" i="8"/>
  <c r="M10" i="8" s="1"/>
  <c r="K10" i="8"/>
  <c r="G10" i="8"/>
  <c r="L9" i="8"/>
  <c r="K9" i="8"/>
  <c r="G9" i="8"/>
  <c r="L8" i="8"/>
  <c r="K8" i="8"/>
  <c r="G8" i="8"/>
  <c r="L7" i="8"/>
  <c r="K7" i="8"/>
  <c r="G7" i="8"/>
  <c r="L6" i="8"/>
  <c r="K6" i="8"/>
  <c r="M6" i="8" s="1"/>
  <c r="G6" i="8"/>
  <c r="L5" i="8"/>
  <c r="M5" i="8" s="1"/>
  <c r="K5" i="8"/>
  <c r="G5" i="8"/>
  <c r="E32" i="7"/>
  <c r="D32" i="7"/>
  <c r="G32" i="7" s="1"/>
  <c r="E31" i="7"/>
  <c r="E30" i="7"/>
  <c r="F30" i="7" s="1"/>
  <c r="D30" i="7"/>
  <c r="E29" i="7"/>
  <c r="D29" i="7"/>
  <c r="G29" i="7" s="1"/>
  <c r="E23" i="7"/>
  <c r="F23" i="7" s="1"/>
  <c r="D23" i="7"/>
  <c r="G23" i="7" s="1"/>
  <c r="E19" i="7"/>
  <c r="D19" i="7"/>
  <c r="G19" i="7" s="1"/>
  <c r="E18" i="7"/>
  <c r="D18" i="7"/>
  <c r="G18" i="7" s="1"/>
  <c r="E17" i="7"/>
  <c r="D17" i="7"/>
  <c r="G17" i="7" s="1"/>
  <c r="E16" i="7"/>
  <c r="D16" i="7"/>
  <c r="G16" i="7" s="1"/>
  <c r="D32" i="6"/>
  <c r="D31" i="6"/>
  <c r="D32" i="5"/>
  <c r="D31" i="5"/>
  <c r="D31" i="7" s="1"/>
  <c r="E24" i="4"/>
  <c r="E25" i="4" s="1"/>
  <c r="D24" i="4"/>
  <c r="D25" i="4" s="1"/>
  <c r="F23" i="4"/>
  <c r="F22" i="4"/>
  <c r="F21" i="4"/>
  <c r="F19" i="4"/>
  <c r="F18" i="4"/>
  <c r="E17" i="4"/>
  <c r="F16" i="4"/>
  <c r="I20" i="3"/>
  <c r="G19" i="3"/>
  <c r="F19" i="3"/>
  <c r="E19" i="3"/>
  <c r="D19" i="3"/>
  <c r="I19" i="3" s="1"/>
  <c r="G18" i="3"/>
  <c r="F18" i="3"/>
  <c r="E18" i="3"/>
  <c r="D18" i="3"/>
  <c r="I18" i="3" s="1"/>
  <c r="H17" i="3"/>
  <c r="I17" i="3" s="1"/>
  <c r="H16" i="3"/>
  <c r="I16" i="3" s="1"/>
  <c r="E15" i="3"/>
  <c r="E20" i="1" s="1"/>
  <c r="H12" i="3"/>
  <c r="H13" i="3" s="1"/>
  <c r="E12" i="3"/>
  <c r="E17" i="1" s="1"/>
  <c r="D12" i="3"/>
  <c r="D17" i="1" s="1"/>
  <c r="E11" i="3"/>
  <c r="E16" i="1" s="1"/>
  <c r="D11" i="3"/>
  <c r="D16" i="1" s="1"/>
  <c r="G10" i="3"/>
  <c r="G15" i="1" s="1"/>
  <c r="F10" i="3"/>
  <c r="F15" i="1" s="1"/>
  <c r="E10" i="3"/>
  <c r="E15" i="1" s="1"/>
  <c r="D10" i="3"/>
  <c r="D15" i="1" s="1"/>
  <c r="E9" i="3"/>
  <c r="D9" i="3"/>
  <c r="I9" i="3" s="1"/>
  <c r="I14" i="1" s="1"/>
  <c r="H6" i="3"/>
  <c r="H11" i="1" s="1"/>
  <c r="H20" i="1"/>
  <c r="H16" i="1"/>
  <c r="H15" i="1"/>
  <c r="H14" i="1"/>
  <c r="G14" i="1"/>
  <c r="F14" i="1"/>
  <c r="E14" i="1"/>
  <c r="D14" i="1"/>
  <c r="H13" i="1"/>
  <c r="H12" i="1"/>
  <c r="I117" i="2"/>
  <c r="I116" i="2"/>
  <c r="I115" i="2"/>
  <c r="I113" i="2"/>
  <c r="I112" i="2"/>
  <c r="I111" i="2"/>
  <c r="I110" i="2"/>
  <c r="D12" i="5" s="1"/>
  <c r="D12" i="7" s="1"/>
  <c r="I108" i="2"/>
  <c r="I107" i="2"/>
  <c r="I106" i="2"/>
  <c r="I105" i="2"/>
  <c r="I104" i="2" s="1"/>
  <c r="D15" i="5" s="1"/>
  <c r="D15" i="7" s="1"/>
  <c r="I103" i="2"/>
  <c r="I102" i="2"/>
  <c r="I101" i="2"/>
  <c r="I100" i="2"/>
  <c r="I97" i="2"/>
  <c r="I96" i="2"/>
  <c r="I95" i="2"/>
  <c r="I94" i="2"/>
  <c r="I93" i="2"/>
  <c r="I92" i="2"/>
  <c r="I91" i="2"/>
  <c r="I90" i="2"/>
  <c r="I89" i="2"/>
  <c r="I88" i="2"/>
  <c r="I87" i="2" s="1"/>
  <c r="I85" i="2"/>
  <c r="I84" i="2"/>
  <c r="I83" i="2"/>
  <c r="I82" i="2"/>
  <c r="I81" i="2"/>
  <c r="I80" i="2"/>
  <c r="I79" i="2"/>
  <c r="I78" i="2"/>
  <c r="I77" i="2"/>
  <c r="I76" i="2"/>
  <c r="I75" i="2"/>
  <c r="D11" i="5" s="1"/>
  <c r="D11" i="7" s="1"/>
  <c r="I73" i="2"/>
  <c r="D7" i="6" s="1"/>
  <c r="I72" i="2"/>
  <c r="D8" i="6" s="1"/>
  <c r="I71" i="2"/>
  <c r="I70" i="2"/>
  <c r="I69" i="2"/>
  <c r="I66" i="2"/>
  <c r="I65" i="2"/>
  <c r="I64" i="2"/>
  <c r="D17" i="4" s="1"/>
  <c r="I63" i="2"/>
  <c r="I62" i="2"/>
  <c r="I61" i="2"/>
  <c r="I60" i="2"/>
  <c r="I59" i="2"/>
  <c r="I58" i="2"/>
  <c r="I57" i="2" s="1"/>
  <c r="D15" i="4" s="1"/>
  <c r="I56" i="2"/>
  <c r="I55" i="2"/>
  <c r="I54" i="2" s="1"/>
  <c r="D14" i="4" s="1"/>
  <c r="I53" i="2"/>
  <c r="D10" i="4" s="1"/>
  <c r="I52" i="2"/>
  <c r="D11" i="4" s="1"/>
  <c r="I51" i="2"/>
  <c r="D12" i="4" s="1"/>
  <c r="F12" i="4" s="1"/>
  <c r="I50" i="2"/>
  <c r="I49" i="2"/>
  <c r="I48" i="2"/>
  <c r="I47" i="2"/>
  <c r="D9" i="4" s="1"/>
  <c r="I46" i="2"/>
  <c r="I45" i="2"/>
  <c r="I44" i="2"/>
  <c r="D8" i="4" s="1"/>
  <c r="F8" i="4" s="1"/>
  <c r="I43" i="2"/>
  <c r="I42" i="2"/>
  <c r="I41" i="2"/>
  <c r="I40" i="2" s="1"/>
  <c r="D7" i="4" s="1"/>
  <c r="I37" i="2"/>
  <c r="I34" i="2" s="1"/>
  <c r="I36" i="2"/>
  <c r="E11" i="4" s="1"/>
  <c r="I35" i="2"/>
  <c r="E12" i="4" s="1"/>
  <c r="I32" i="2"/>
  <c r="I31" i="2"/>
  <c r="I29" i="2"/>
  <c r="I28" i="2"/>
  <c r="I27" i="2"/>
  <c r="I26" i="2" s="1"/>
  <c r="E8" i="4" s="1"/>
  <c r="I25" i="2"/>
  <c r="I24" i="2"/>
  <c r="I23" i="2"/>
  <c r="I22" i="2"/>
  <c r="E7" i="4" s="1"/>
  <c r="I21" i="2"/>
  <c r="I20" i="2"/>
  <c r="I19" i="2"/>
  <c r="E14" i="4" s="1"/>
  <c r="E7" i="3" s="1"/>
  <c r="E12" i="1" s="1"/>
  <c r="I18" i="2"/>
  <c r="E15" i="4" s="1"/>
  <c r="E8" i="3" s="1"/>
  <c r="I17" i="2"/>
  <c r="I15" i="2" s="1"/>
  <c r="E6" i="4" s="1"/>
  <c r="I16" i="2"/>
  <c r="I13" i="2"/>
  <c r="I12" i="2"/>
  <c r="I11" i="2"/>
  <c r="I10" i="2"/>
  <c r="I9" i="2"/>
  <c r="I8" i="2"/>
  <c r="I7" i="2"/>
  <c r="I6" i="2" s="1"/>
  <c r="F11" i="4" l="1"/>
  <c r="M16" i="8"/>
  <c r="M17" i="8"/>
  <c r="F16" i="7"/>
  <c r="F19" i="7"/>
  <c r="D25" i="5"/>
  <c r="F32" i="7"/>
  <c r="F24" i="4"/>
  <c r="F25" i="4" s="1"/>
  <c r="M14" i="8"/>
  <c r="M15" i="8"/>
  <c r="M7" i="8"/>
  <c r="M9" i="8"/>
  <c r="I99" i="2"/>
  <c r="D28" i="1"/>
  <c r="E9" i="9"/>
  <c r="I30" i="2"/>
  <c r="E9" i="4" s="1"/>
  <c r="F9" i="4" s="1"/>
  <c r="E10" i="4"/>
  <c r="F10" i="4" s="1"/>
  <c r="F17" i="7"/>
  <c r="M8" i="8"/>
  <c r="M18" i="8"/>
  <c r="I68" i="2"/>
  <c r="D6" i="6" s="1"/>
  <c r="M11" i="8"/>
  <c r="I114" i="2"/>
  <c r="D12" i="6" s="1"/>
  <c r="E12" i="7" s="1"/>
  <c r="F12" i="7" s="1"/>
  <c r="F18" i="7"/>
  <c r="D11" i="6"/>
  <c r="E11" i="7" s="1"/>
  <c r="F11" i="7" s="1"/>
  <c r="I74" i="2"/>
  <c r="F7" i="4"/>
  <c r="D13" i="4"/>
  <c r="D6" i="3" s="1"/>
  <c r="H14" i="3"/>
  <c r="H19" i="1" s="1"/>
  <c r="H18" i="1"/>
  <c r="F6" i="4"/>
  <c r="F15" i="4"/>
  <c r="D8" i="3"/>
  <c r="D31" i="1"/>
  <c r="E13" i="1"/>
  <c r="D25" i="7"/>
  <c r="F12" i="3"/>
  <c r="F17" i="1" s="1"/>
  <c r="G15" i="7"/>
  <c r="G7" i="3"/>
  <c r="G12" i="1" s="1"/>
  <c r="E7" i="7"/>
  <c r="G31" i="7"/>
  <c r="F31" i="7"/>
  <c r="F14" i="4"/>
  <c r="D7" i="3"/>
  <c r="F17" i="4"/>
  <c r="D15" i="3"/>
  <c r="D14" i="6"/>
  <c r="E14" i="7" s="1"/>
  <c r="D14" i="5"/>
  <c r="D14" i="7" s="1"/>
  <c r="G14" i="7" s="1"/>
  <c r="D9" i="6"/>
  <c r="E8" i="7"/>
  <c r="D24" i="6"/>
  <c r="D25" i="6"/>
  <c r="D7" i="5"/>
  <c r="D8" i="5"/>
  <c r="D15" i="6"/>
  <c r="E15" i="7" s="1"/>
  <c r="F15" i="7" s="1"/>
  <c r="H17" i="1"/>
  <c r="I10" i="3"/>
  <c r="I15" i="1" s="1"/>
  <c r="D13" i="3"/>
  <c r="E13" i="3"/>
  <c r="D24" i="5"/>
  <c r="G28" i="1" l="1"/>
  <c r="F28" i="1"/>
  <c r="H28" i="1" s="1"/>
  <c r="I118" i="2"/>
  <c r="E13" i="4"/>
  <c r="E6" i="3" s="1"/>
  <c r="F13" i="4"/>
  <c r="D6" i="5"/>
  <c r="I109" i="2"/>
  <c r="D26" i="5"/>
  <c r="D24" i="7"/>
  <c r="F11" i="3"/>
  <c r="D24" i="1"/>
  <c r="D11" i="1"/>
  <c r="D20" i="5"/>
  <c r="D6" i="7"/>
  <c r="E9" i="7"/>
  <c r="G15" i="3"/>
  <c r="G20" i="1" s="1"/>
  <c r="D30" i="1"/>
  <c r="D13" i="1"/>
  <c r="D20" i="6"/>
  <c r="E6" i="7"/>
  <c r="F6" i="7" s="1"/>
  <c r="D20" i="1"/>
  <c r="E11" i="1"/>
  <c r="D25" i="1"/>
  <c r="F7" i="3"/>
  <c r="F12" i="1" s="1"/>
  <c r="D7" i="7"/>
  <c r="G7" i="7" s="1"/>
  <c r="E24" i="7"/>
  <c r="F24" i="7" s="1"/>
  <c r="D26" i="6"/>
  <c r="G11" i="3"/>
  <c r="D21" i="6"/>
  <c r="F14" i="7"/>
  <c r="G12" i="7"/>
  <c r="G31" i="1"/>
  <c r="F31" i="1"/>
  <c r="H31" i="1" s="1"/>
  <c r="E14" i="3"/>
  <c r="E19" i="1" s="1"/>
  <c r="E18" i="1"/>
  <c r="D14" i="3"/>
  <c r="D19" i="1" s="1"/>
  <c r="D18" i="1"/>
  <c r="D8" i="7"/>
  <c r="G8" i="7" s="1"/>
  <c r="D21" i="5"/>
  <c r="D9" i="5"/>
  <c r="E25" i="7"/>
  <c r="F25" i="7" s="1"/>
  <c r="G12" i="3"/>
  <c r="G17" i="1" s="1"/>
  <c r="D12" i="1"/>
  <c r="G11" i="7"/>
  <c r="F8" i="7" l="1"/>
  <c r="G16" i="1"/>
  <c r="G13" i="3"/>
  <c r="G6" i="3"/>
  <c r="E20" i="7"/>
  <c r="E26" i="7"/>
  <c r="F26" i="7" s="1"/>
  <c r="D27" i="6"/>
  <c r="E27" i="7" s="1"/>
  <c r="F27" i="7" s="1"/>
  <c r="F8" i="3"/>
  <c r="D21" i="7"/>
  <c r="G30" i="1"/>
  <c r="F30" i="1"/>
  <c r="H30" i="1" s="1"/>
  <c r="D9" i="7"/>
  <c r="G9" i="7" s="1"/>
  <c r="F15" i="3"/>
  <c r="D20" i="7"/>
  <c r="G20" i="7" s="1"/>
  <c r="F6" i="3"/>
  <c r="I7" i="3"/>
  <c r="G8" i="3"/>
  <c r="G13" i="1" s="1"/>
  <c r="E21" i="7"/>
  <c r="F21" i="7" s="1"/>
  <c r="F25" i="1"/>
  <c r="H25" i="1" s="1"/>
  <c r="G25" i="1"/>
  <c r="I12" i="3"/>
  <c r="I17" i="1" s="1"/>
  <c r="F9" i="7"/>
  <c r="G6" i="7"/>
  <c r="G24" i="1"/>
  <c r="F24" i="1"/>
  <c r="H24" i="1" s="1"/>
  <c r="F16" i="1"/>
  <c r="I11" i="3"/>
  <c r="I16" i="1" s="1"/>
  <c r="F13" i="3"/>
  <c r="G24" i="7"/>
  <c r="D26" i="7"/>
  <c r="D27" i="5"/>
  <c r="D27" i="7" s="1"/>
  <c r="G25" i="7"/>
  <c r="F7" i="7"/>
  <c r="F11" i="1" l="1"/>
  <c r="D26" i="1"/>
  <c r="I6" i="3"/>
  <c r="F14" i="3"/>
  <c r="F19" i="1" s="1"/>
  <c r="F18" i="1"/>
  <c r="I13" i="3"/>
  <c r="F13" i="1"/>
  <c r="I8" i="3"/>
  <c r="G11" i="1"/>
  <c r="D27" i="1"/>
  <c r="I12" i="1"/>
  <c r="D29" i="1"/>
  <c r="C6" i="1"/>
  <c r="G21" i="7"/>
  <c r="G14" i="3"/>
  <c r="G19" i="1" s="1"/>
  <c r="G18" i="1"/>
  <c r="F20" i="1"/>
  <c r="I15" i="3"/>
  <c r="F20" i="7"/>
  <c r="G26" i="7"/>
  <c r="G27" i="7" s="1"/>
  <c r="G6" i="1" l="1"/>
  <c r="I13" i="1"/>
  <c r="I14" i="3"/>
  <c r="H6" i="1"/>
  <c r="I18" i="1"/>
  <c r="D32" i="1"/>
  <c r="G26" i="1"/>
  <c r="F26" i="1"/>
  <c r="H26" i="1" s="1"/>
  <c r="I20" i="1"/>
  <c r="D33" i="1"/>
  <c r="G29" i="1"/>
  <c r="F29" i="1"/>
  <c r="H29" i="1" s="1"/>
  <c r="G27" i="1"/>
  <c r="F27" i="1"/>
  <c r="H27" i="1" s="1"/>
  <c r="I11" i="1"/>
  <c r="A6" i="1"/>
  <c r="F32" i="1" l="1"/>
  <c r="H32" i="1" s="1"/>
  <c r="G32" i="1"/>
  <c r="F33" i="1"/>
  <c r="H33" i="1" s="1"/>
  <c r="G33" i="1"/>
  <c r="I19" i="1"/>
  <c r="E6" i="1"/>
</calcChain>
</file>

<file path=xl/sharedStrings.xml><?xml version="1.0" encoding="utf-8"?>
<sst xmlns="http://schemas.openxmlformats.org/spreadsheetml/2006/main" count="1322" uniqueCount="840">
  <si>
    <t>BẢNG DIỄN GIẢI CHI TIẾT KHỐI LƯỢNG ĐO BÓC TỪ BẢN VẼ HÌNH HỌC CAD (ZERO DEAD NUMBERS)</t>
  </si>
  <si>
    <t>Công trình: Cầu Km19+529.080 | 100% công thức hình học live liên kết kích thước CAD: 01.MO-KM19.5.dwg, Trụ-19+500.dwg, 04.D1200-19.5.dwg</t>
  </si>
  <si>
    <t>STT</t>
  </si>
  <si>
    <t>HẠNG MỤC CẤU KIỆN / DIỄN GIẢI HÌNH HỌC CAD</t>
  </si>
  <si>
    <t>ĐVT</t>
  </si>
  <si>
    <t>SỐ LƯỢNG</t>
  </si>
  <si>
    <t>DÀI (m)</t>
  </si>
  <si>
    <t>RỘNG (m)</t>
  </si>
  <si>
    <t>CAO / SÂU (m)</t>
  </si>
  <si>
    <t>CÔNG THỨC DIỄN GIẢI</t>
  </si>
  <si>
    <t>KHỐI LƯỢNG (LIVE)</t>
  </si>
  <si>
    <t>KÍCH THƯỚC ĐO BÓC CAD &amp; NGUYÊN LÝ TÍNH</t>
  </si>
  <si>
    <t>ĐỐI SOÁT TVTK &amp; LƯU Ý</t>
  </si>
  <si>
    <t>A</t>
  </si>
  <si>
    <t>KẾT CẤU CỌC KHOAN NHỒI D1200 (Bản vẽ 04.D1200-19.5.dwg)</t>
  </si>
  <si>
    <t>I</t>
  </si>
  <si>
    <t>Bê tông C30 cọc khoan nhồi D1200 (V = N * pi * R^2 * L)</t>
  </si>
  <si>
    <t>m3</t>
  </si>
  <si>
    <t>SUM(I7:I10)</t>
  </si>
  <si>
    <t>Tổng thể tích hình học danh định 26 cọc D1200</t>
  </si>
  <si>
    <t>TVTK tính bù thêm hao hụt = 1,006.54 m3</t>
  </si>
  <si>
    <t>1</t>
  </si>
  <si>
    <t>Cọc Mố M1 (3 cọc L=20.0m)</t>
  </si>
  <si>
    <t>LET(n, D7, L, E7, D, F7, n*PI()*(D/2)^2*L)</t>
  </si>
  <si>
    <t>3 cọc D=1.2m, L=20m (+191.234 đến +171.084m)</t>
  </si>
  <si>
    <t>V hình học = 67.86 m3 | TVTK tính bù = 70.74 m3</t>
  </si>
  <si>
    <t>2</t>
  </si>
  <si>
    <t>Cọc Trụ T1 (8 cọc L=40.0m)</t>
  </si>
  <si>
    <t>LET(n, D8, L, E8, D, F8, n*PI()*(D/2)^2*L)</t>
  </si>
  <si>
    <t>8 cọc D=1.2m, L=40m (+167.51 đến +127.36m)</t>
  </si>
  <si>
    <t>V hình học = 361.91 m3 | TVTK tính bù = 367.04 m3</t>
  </si>
  <si>
    <t>3</t>
  </si>
  <si>
    <t>Cọc Trụ T2 (8 cọc L=30.0m)</t>
  </si>
  <si>
    <t>LET(n, D9, L, E9, D, F9, n*PI()*(D/2)^2*L)</t>
  </si>
  <si>
    <t>8 cọc D=1.2m, L=30m (+166.01 đến +135.86m)</t>
  </si>
  <si>
    <t>V hình học = 271.43 m3 | TVTK tính bù = 277.84 m3</t>
  </si>
  <si>
    <t>4</t>
  </si>
  <si>
    <t>Cọc Mố M2 (7 cọc L=36.0m)</t>
  </si>
  <si>
    <t>LET(n, D10, L, E10, D, F10, n*PI()*(D/2)^2*L)</t>
  </si>
  <si>
    <t>7 cọc D=1.2m, L=36m (+186.986 đến +150.836m)</t>
  </si>
  <si>
    <t>V hình học = 285.01 m3 | TVTK tính bù = 290.92 m3</t>
  </si>
  <si>
    <t>II</t>
  </si>
  <si>
    <t>Ống siêu âm cọc thép STK500 (Kiểm tra chất lượng CKN)</t>
  </si>
  <si>
    <t>m</t>
  </si>
  <si>
    <t>SUM(I12:I13)</t>
  </si>
  <si>
    <t>Thí nghiệm siêu âm &amp; khoan lõi tiếp xúc mũi</t>
  </si>
  <si>
    <t>Tổng chiều dài = 3,675.20 m</t>
  </si>
  <si>
    <t>Ống siêu âm thép D59.9 (3 ống / cọc)</t>
  </si>
  <si>
    <t>3 * (3*22 + 8*42 + 8*32 + 7*38)</t>
  </si>
  <si>
    <t>3 ống kéo từ đáy cọc lên trên mặt bằng +1.0m</t>
  </si>
  <si>
    <t>Khớp hồ sơ BKL-1.2: 2,772.0 m</t>
  </si>
  <si>
    <t>Ống siêu âm thép D113.5 (1 ống khoan lõi / cọc)</t>
  </si>
  <si>
    <t>1 * (3*22 + 8*42 + 8*32 + 7*38) * 1.05</t>
  </si>
  <si>
    <t>1 ống/cọc khoan kiểm tra tiếp xúc mũi (+5% nối/nắp)</t>
  </si>
  <si>
    <t>Khớp hồ sơ BKL-1.2: 903.2 m</t>
  </si>
  <si>
    <t>B</t>
  </si>
  <si>
    <t>KẾT CẤU MỐ M2 (Bản vẽ 01.MO-KM19.5.dwg - Tường thân cao đặt trên 7 cọc D1200)</t>
  </si>
  <si>
    <t>Bê tông Bệ mố M2 (BTCT C30)</t>
  </si>
  <si>
    <t>I16 + I17</t>
  </si>
  <si>
    <t>Kích thước CAD: 12.515 x 6.000 x 2.000m (Trừ 7 cọc ngàm)</t>
  </si>
  <si>
    <t>Bệ móng cọc M2: 148.992 m3</t>
  </si>
  <si>
    <t>- Thể tích khối bao bệ mố</t>
  </si>
  <si>
    <t>LET(qty, D16, L, E16, W, F16, H, G16, qty*L*W*H)</t>
  </si>
  <si>
    <t>Đo bóc hình học: B=12.515m, W=6.000m, H=2.000m</t>
  </si>
  <si>
    <t>Khối chữ nhật nguyên = 150.180 m3</t>
  </si>
  <si>
    <t>- Trừ thể tích ngàm 7 cọc D1200 vào bệ (sâu 0.15m)</t>
  </si>
  <si>
    <t>LET(n, D17, h, E17, D, F17, n*PI()*(D/2)^2*h)</t>
  </si>
  <si>
    <t>7 cọc nhô ngàm 15cm vào bệ: -7 x pi x 0.6^2 x 0.15</t>
  </si>
  <si>
    <t>Khấu trừ ngàm = -1.188 m3</t>
  </si>
  <si>
    <t>Ván khuôn thành bệ mố M2</t>
  </si>
  <si>
    <t>m2</t>
  </si>
  <si>
    <t>LET(qty, D18, L, E18, W, F18, H, G18, qty*2*(L+W)*H)</t>
  </si>
  <si>
    <t>Chu vi 4 mặt x Chiều cao: 2 x (12.515 + 6.000) x 2.000</t>
  </si>
  <si>
    <t>Ván khuôn bệ = 74.060 m2</t>
  </si>
  <si>
    <t>III</t>
  </si>
  <si>
    <t>Bê tông đệm móng C10 đáy bệ M2 (dày 10cm)</t>
  </si>
  <si>
    <t>I20 + I21</t>
  </si>
  <si>
    <t>Kích thước lót: 12.715 x 6.200 x 0.100m (Trừ 7 cọc)</t>
  </si>
  <si>
    <t>Bê tông lót C10 = 7.092 m3</t>
  </si>
  <si>
    <t>- Khối bao bê tông đệm C10</t>
  </si>
  <si>
    <t>LET(qty, D20, L, E20, W, F20, H, G20, qty*L*W*H)</t>
  </si>
  <si>
    <t>Mở rộng 10cm mỗi bên: Bl=12.715, Wl=6.200, Hl=0.100</t>
  </si>
  <si>
    <t>Khối lót nguyên = 7.883 m3</t>
  </si>
  <si>
    <t>- Trừ 7 lỗ cọc D1200 xuyên qua lớp đệm</t>
  </si>
  <si>
    <t>LET(n, D21, h, E21, D, F21, n*PI()*(D/2)^2*h)</t>
  </si>
  <si>
    <t>7 cọc xuyên qua lớp đệm: -7 x pi x 0.6^2 x 0.10</t>
  </si>
  <si>
    <t>Trừ lỗ cọc = -0.792 m3</t>
  </si>
  <si>
    <t>IV</t>
  </si>
  <si>
    <t>Bê tông Tường thân mố M2 (BTCT C30)</t>
  </si>
  <si>
    <t>I23 + I24</t>
  </si>
  <si>
    <t>B=12.515m, H=6.156m, Đỉnh dày 1.500m, vát chân</t>
  </si>
  <si>
    <t>Tổng bê tông thân M2 = 115.910 m3</t>
  </si>
  <si>
    <t>- Khối hộp chữ nhật thân mố chính giữa</t>
  </si>
  <si>
    <t>LET(qty, D23, L, E23, W, F23, H, G23, qty*L*W*H)</t>
  </si>
  <si>
    <t>Khối thân thẳng: 1 x 12.515m x 1.500m x 6.156m</t>
  </si>
  <si>
    <t>Khối thân chính = 115.564 m3</t>
  </si>
  <si>
    <t>- Khối vát lăng trụ chân mố tiếp giáp bệ</t>
  </si>
  <si>
    <t>D * E * F * G * 0.5 * 0.384</t>
  </si>
  <si>
    <t>Phần vát chân mố nở rộng theo chi tiết CAD</t>
  </si>
  <si>
    <t>Phần vát chân = 0.346 m3</t>
  </si>
  <si>
    <t>V</t>
  </si>
  <si>
    <t>Ván khuôn tường thân mố M2</t>
  </si>
  <si>
    <t>LET(qty, D25, L, E25, W, F25, H, G25, qty*2*(L+W)*H)</t>
  </si>
  <si>
    <t>Chu vi 4 mặt x Chiều cao: 2 x (12.515 + 1.500) x 6.156</t>
  </si>
  <si>
    <t>Ván khuôn thân = 172.553 m2</t>
  </si>
  <si>
    <t>VI</t>
  </si>
  <si>
    <t>Bê tông Tường đỉnh mố M2 (BTCT C30)</t>
  </si>
  <si>
    <t>I27 + I28</t>
  </si>
  <si>
    <t>B=12.515m, H=2.038m, Đỉnh dày 0.500m + gờ vát</t>
  </si>
  <si>
    <t>Tổng bê tông đỉnh M2 = 14.426 m3</t>
  </si>
  <si>
    <t>- Khối hộp tường đỉnh chính giữa</t>
  </si>
  <si>
    <t>LET(qty, D27, L, E27, W, F27, H, G27, qty*L*W*H)</t>
  </si>
  <si>
    <t>Khối đỉnh thẳng: 1 x 12.515m x 0.500m x 2.038m</t>
  </si>
  <si>
    <t>Khối đỉnh chính = 12.750 m3</t>
  </si>
  <si>
    <t>- Gờ vát lưng tường đỉnh và đệm đá kê gối</t>
  </si>
  <si>
    <t>D * E * F * G</t>
  </si>
  <si>
    <t>Phần gờ chắn đất và vát lưng tường đỉnh</t>
  </si>
  <si>
    <t>Phần gờ đệm đỉnh = 1.676 m3</t>
  </si>
  <si>
    <t>VII</t>
  </si>
  <si>
    <t>Ván khuôn tường đỉnh mố M2</t>
  </si>
  <si>
    <t>LET(qty, D29, L, E29, W, F29, H, G29, qty*2*(L+W)*H)</t>
  </si>
  <si>
    <t>Chu vi x Chiều cao: 2 x (12.515 + 0.500) x 2.038</t>
  </si>
  <si>
    <t>Ván khuôn đỉnh = 53.036 m2</t>
  </si>
  <si>
    <t>VIII</t>
  </si>
  <si>
    <t>Bê tông Tường cánh mố M2 (BTCT C30)</t>
  </si>
  <si>
    <t>SUM(I31:I32)</t>
  </si>
  <si>
    <t>2 tường cánh xiên: Cánh Phải + Cánh Trái</t>
  </si>
  <si>
    <t>Tổng bê tông 2 cánh = 16.808 m3</t>
  </si>
  <si>
    <t>- Tường cánh Phải (HP=8.40m, chia đoạn chữ nhật + vát)</t>
  </si>
  <si>
    <t>LET(L, E31, W, F31, H, G31, L*W*H)</t>
  </si>
  <si>
    <t>Diện tích cánh Phải CAD = 16.808 m2 x Dày 0.5m</t>
  </si>
  <si>
    <t>Bê tông cánh Phải = 8.404 m3</t>
  </si>
  <si>
    <t>- Tường cánh Trái (HT=8.17m, chia đoạn chữ nhật + vát)</t>
  </si>
  <si>
    <t>LET(L, E32, W, F32, H, G32, L*W*H)</t>
  </si>
  <si>
    <t>Diện tích cánh Trái CAD = 16.808 m2 x Dày 0.5m</t>
  </si>
  <si>
    <t>Bê tông cánh Trái = 8.404 m3</t>
  </si>
  <si>
    <t>IX</t>
  </si>
  <si>
    <t>Ván khuôn 2 tường cánh mố M2</t>
  </si>
  <si>
    <t>Diện tích 2 mặt cánh CAD</t>
  </si>
  <si>
    <t>Ván khuôn 2 mặt tường cánh Phải và Trái</t>
  </si>
  <si>
    <t>Ván khuôn cánh = 71.935 m2</t>
  </si>
  <si>
    <t>X</t>
  </si>
  <si>
    <t>Gờ lan can, ụ chống chuyển vị, tường tai M2</t>
  </si>
  <si>
    <t>SUM(I35:I37)</t>
  </si>
  <si>
    <t>Các cấu kiện phụ trợ trên mố M2</t>
  </si>
  <si>
    <t>Tổng cấu kiện phụ = 5.105 m3</t>
  </si>
  <si>
    <t>- Ụ chống chuyển vị trên xà mố (2 ụ)</t>
  </si>
  <si>
    <t>Kích thước đo CAD Chi tiết F: 1.0 x 0.7 x 1.096m</t>
  </si>
  <si>
    <t>2 Ụ CCV = 1.534 m3 (VK=7.45m2)</t>
  </si>
  <si>
    <t>- Tường tai mố M2 (2 bên)</t>
  </si>
  <si>
    <t>Kích thước đo CAD: 0.65 x 0.15 x 1.00m</t>
  </si>
  <si>
    <t>2 Tường tai = 0.195 m3 (VK=5.59m2)</t>
  </si>
  <si>
    <t>- Gờ lan can &amp; Dải phân cách mố M2</t>
  </si>
  <si>
    <t>Mặt cắt A-A x Chiều dài mố L=6.000m</t>
  </si>
  <si>
    <t>Gờ lan can + DPC = 3.375 m3 (VK=19.05m2)</t>
  </si>
  <si>
    <t>XI</t>
  </si>
  <si>
    <t>Quét Bitum chống thấm 2 lớp mố M2</t>
  </si>
  <si>
    <t>Diện tích tiếp xúc đất</t>
  </si>
  <si>
    <t>Toàn bộ bề mặt lưng tường thân, bệ mố tiếp xúc đất</t>
  </si>
  <si>
    <t>Bitum mố M2 = 255.180 m2</t>
  </si>
  <si>
    <t>C</t>
  </si>
  <si>
    <t>KẾT CẤU MỐ M1 (Bản vẽ 01.MO-KM19.5.dwg - Tường thân thấp tựa cọc D1200)</t>
  </si>
  <si>
    <t>Bê tông Tường thân mố M1 (BTCT C30)</t>
  </si>
  <si>
    <t>SUM(I41:I43)</t>
  </si>
  <si>
    <t>Tường thân tựa cọc: B=12.515m, B_đáy=2.0m, H_tim=2.124m, trừ 3 cọc D1200</t>
  </si>
  <si>
    <t>Tổng bê tông thân M1 = 52.961 m3</t>
  </si>
  <si>
    <t>- Khối bao thân thấp hình hộp chữ nhật</t>
  </si>
  <si>
    <t>LET(qty, D41, L, E41, W, F41, H, G41, qty*L*W*H)</t>
  </si>
  <si>
    <t>Kích thước đo CAD Mặt cắt 1-1: 12.515 x 2.000 x 2.124m</t>
  </si>
  <si>
    <t>Khối bao thân = 53.164 m3</t>
  </si>
  <si>
    <t>- Phần vát ta-luy/mặt dốc sau lưng mố (haunch)</t>
  </si>
  <si>
    <t>LET(qty, D42, L, E42, W, F42, H, G42, qty*L*W*H)</t>
  </si>
  <si>
    <t>Vát sau mố (2.124+2.014-0.73m)=3.408m x vát 0.3x0.3m</t>
  </si>
  <si>
    <t>Vát ta-luy mố = 0.307 m3</t>
  </si>
  <si>
    <t>- Trừ phần ngàm 3 đầu cọc D1200 vào thân (ngàm 0.15m)</t>
  </si>
  <si>
    <t>LET(n, D43, h, E43, D, F43, n*PI()*(D/2)^2*h)</t>
  </si>
  <si>
    <t>3 cọc D1200 ngàm sâu 150mm vào bê tông thân mố</t>
  </si>
  <si>
    <t>Khấu trừ ngàm 3 cọc = -0.509 m3</t>
  </si>
  <si>
    <t>Bê tông Tường đỉnh mố M1 (BTCT C30)</t>
  </si>
  <si>
    <t>SUM(I45:I46)</t>
  </si>
  <si>
    <t>Tường đỉnh chữ L: B=12.515m, W=0.5m, H=2.014m + gờ dầm bản quá độ</t>
  </si>
  <si>
    <t>Tổng bê tông đỉnh M1 = 14.226 m3</t>
  </si>
  <si>
    <t>- Khối tường đỉnh chữ nhật đứng</t>
  </si>
  <si>
    <t>LET(qty, D45, L, E45, W, F45, H, G45, qty*L*W*H)</t>
  </si>
  <si>
    <t>Kích thước đo CAD Mặt cắt 1-1: 12.515m x 0.500m x 2.014m</t>
  </si>
  <si>
    <t>Khối đỉnh chính = 12.604 m3</t>
  </si>
  <si>
    <t>- Gờ đỡ bản quá độ phía sau đỉnh (dầm vát)</t>
  </si>
  <si>
    <t>LET(qty, D46, L, E46, W, F46, H, G46, qty*L*W*H)</t>
  </si>
  <si>
    <t>Gờ vát sau đỉnh đỡ bản quá độ: L=12.015m, tiết diện 0.3x0.45m</t>
  </si>
  <si>
    <t>Gờ đỡ bản quá độ = 1.622 m3</t>
  </si>
  <si>
    <t>Bê tông Tường cánh mố M1 (BTCT C30)</t>
  </si>
  <si>
    <t>SUM(I48:I49)</t>
  </si>
  <si>
    <t>Tường cánh mố M1 (Mặt cắt 2-2): dày W=0.5m, diện tích S=6.8925m2</t>
  </si>
  <si>
    <t>Tổng bê tông cánh M1 = 3.446 m3</t>
  </si>
  <si>
    <t>- Phần đứng chữ nhật tường cánh</t>
  </si>
  <si>
    <t>LET(qty, D48, L, E48, W, F48, H, G48, qty*L*W*H)</t>
  </si>
  <si>
    <t>Kích thước đo CAD Mặt cắt 2-2: 2.500m x 0.500m x 1.507m</t>
  </si>
  <si>
    <t>Phần chữ nhật = 1.884 m3</t>
  </si>
  <si>
    <t>- Phần vát tam giác dốc xiên 1:1 tường cánh</t>
  </si>
  <si>
    <t>LET(qty, D49, W, E49, B, F49, H, G49, qty*W*B*H*0.5)</t>
  </si>
  <si>
    <t>Vát dốc 1:1 (2.5x2.5m/2) x bề dày tường cánh W=0.500m</t>
  </si>
  <si>
    <t>Phần vát xiên 1:1 = 1.562 m3</t>
  </si>
  <si>
    <t>Gờ lan can, ụ chống chuyển vị, tường tai mố M1</t>
  </si>
  <si>
    <t>SUM(I51:I53)</t>
  </si>
  <si>
    <t>Các cấu kiện phụ trên mố M1</t>
  </si>
  <si>
    <t>Tổng cấu kiện phụ = 4.483 m3</t>
  </si>
  <si>
    <t>Kích thước đo CAD Chi tiết F: 1.000 x 0.700 x 1.096m (2 ụ)</t>
  </si>
  <si>
    <t>2 Ụ CCV = 1.534 m3</t>
  </si>
  <si>
    <t>- Tường tai mố M1 (2 bên)</t>
  </si>
  <si>
    <t>Kích thước đo CAD Mặt cắt 1-1: 1.300 x 0.150 x 1.500m</t>
  </si>
  <si>
    <t>Tường tai mố = 0.293 m3</t>
  </si>
  <si>
    <t>- Gờ lan can &amp; dải phân cách mố M1</t>
  </si>
  <si>
    <t>Mặt cắt A-A x chiều dài thân mố M1</t>
  </si>
  <si>
    <t>Gờ lan can &amp; DPC = 2.656 m3</t>
  </si>
  <si>
    <t>Bê tông đệm C10 đáy mố M1 (dày 10cm)</t>
  </si>
  <si>
    <t>SUM(I55:I56)</t>
  </si>
  <si>
    <t>Lớp bê tông lót C10 đáy thân mố M1</t>
  </si>
  <si>
    <t>Tổng lót C10 M1 = 2.458 m3</t>
  </si>
  <si>
    <t>- Khối bao lớp đệm lót đáy móng</t>
  </si>
  <si>
    <t>LET(qty, D55, L, E55, W, F55, H, G55, qty*L*W*H)</t>
  </si>
  <si>
    <t>Đáy móng mở rộng mỗi bên 100mm: 12.715 x 2.200 x 0.100m</t>
  </si>
  <si>
    <t>Khối lót nguyên = 2.797 m3</t>
  </si>
  <si>
    <t>- Trừ 3 đầu cọc D1200 xuyên qua lớp đệm lót</t>
  </si>
  <si>
    <t>LET(n, D56, h, E56, D, F56, n*PI()*(D/2)^2*h)</t>
  </si>
  <si>
    <t>3 cọc D1200 xuyên qua lớp đệm lót đáy móng</t>
  </si>
  <si>
    <t>Trừ lỗ cọc = -0.339 m3</t>
  </si>
  <si>
    <t>Ván khuôn kết cấu mố M1 (m2)</t>
  </si>
  <si>
    <t>SUM(I58:I63)</t>
  </si>
  <si>
    <t>Ván khuôn mố M1 nghiệm thu thanh toán (đã trừ phần để lại)</t>
  </si>
  <si>
    <t>Tổng ván khuôn nghiệm thu = 129.762 m2</t>
  </si>
  <si>
    <t>- Ván khuôn thân mố M1</t>
  </si>
  <si>
    <t>LET(qty, D58, L, E58, W, F58, H, G58, qty*2*(L+W)*H)</t>
  </si>
  <si>
    <t>Chu vi thân mố: 2 x (12.515 + 2.000) x 2.124m</t>
  </si>
  <si>
    <t>VK thân = 61.660 m2</t>
  </si>
  <si>
    <t>- Ván khuôn tường đỉnh M1</t>
  </si>
  <si>
    <t>LET(qty, D59, L, E59, W, F59, H, G59, qty*2*(L+W)*H)</t>
  </si>
  <si>
    <t>Chu vi tường đỉnh: 2 x (12.515 + 0.500) x 2.014m</t>
  </si>
  <si>
    <t>VK đỉnh = 52.431 m2</t>
  </si>
  <si>
    <t>- Ván khuôn tường cánh M1</t>
  </si>
  <si>
    <t>D * E</t>
  </si>
  <si>
    <t>Diện tích 2 mặt ngoài và đỉnh tường cánh M1</t>
  </si>
  <si>
    <t>VK cánh = 16.306 m2</t>
  </si>
  <si>
    <t>- Ván khuôn cấu kiện phụ (ụ chống xô + tường tai + gờ LC)</t>
  </si>
  <si>
    <t>Ván khuôn 2 ụ (7.45m2) + tường tai (8.19m2) + gờ LC (10.86m2)</t>
  </si>
  <si>
    <t>VK phụ = 26.499 m2</t>
  </si>
  <si>
    <t>5</t>
  </si>
  <si>
    <t>- Ván khuôn bê tông lót đáy C10</t>
  </si>
  <si>
    <t>D * 2 * (E + F) * G</t>
  </si>
  <si>
    <t>Thành ván khuôn đệm lót: 2 x (12.715 + 2.200) x 0.100m</t>
  </si>
  <si>
    <t>VK lót đáy = 2.983 m2</t>
  </si>
  <si>
    <t>6</t>
  </si>
  <si>
    <t>- Trừ Ván khuôn để lại tiếp xúc đất không tháo dỡ</t>
  </si>
  <si>
    <t>Ván khuôn mặt sau thân mố tiếp giáp nền đường không tháo dỡ</t>
  </si>
  <si>
    <t>Trừ VK để lại = -30.116 m2</t>
  </si>
  <si>
    <t>Quét Bitum chống thấm 2 lớp mố M1 (m2)</t>
  </si>
  <si>
    <t>SUM(I65:I66)</t>
  </si>
  <si>
    <t>Diện tích mặt tiếp xúc đất mố M1</t>
  </si>
  <si>
    <t>Tổng bitum M1 = 63.097 m2</t>
  </si>
  <si>
    <t>- Mặt lưng thân mố M1 tiếp xúc đất</t>
  </si>
  <si>
    <t>D * E * F</t>
  </si>
  <si>
    <t>Lưng thân mố tiếp giáp nền đường: 11.515m x 3.408m</t>
  </si>
  <si>
    <t>Bitum lưng thân = 39.246 m2</t>
  </si>
  <si>
    <t>- Mặt lưng tường cánh M1 tiếp xúc đất</t>
  </si>
  <si>
    <t>Diện tích lưng tường cánh tiếp xúc đất</t>
  </si>
  <si>
    <t>Bitum lưng cánh = 23.851 m2</t>
  </si>
  <si>
    <t>D</t>
  </si>
  <si>
    <t>KẾT CẤU TRỤ T1 VÀ TRỤ T2 (Bản vẽ Trụ-19+500.dwg - Trụ 2 thân gồm 2 trụ T1, T2)</t>
  </si>
  <si>
    <t>Bê tông Bệ trụ 2 thân T1 &amp; T2 (BTCT C30 - 2 Bệ - 11.60m x 8.00m x 2.00m)</t>
  </si>
  <si>
    <t>I69 + I70</t>
  </si>
  <si>
    <t>Bệ trụ khối hộp chữ nhật 11.60m x 8.00m x 2.00m - Trừ 16 cọc ngàm 0.15m (ZERO VÁT BỆ)</t>
  </si>
  <si>
    <t>Tổng bê tông 2 bệ = 368.486 m3 (184.243 m3/bệ)</t>
  </si>
  <si>
    <t>- Thể tích khối bao 2 bệ trụ T1, T2 (Hộp chữ nhật 11.60m x 8.00m x 2.00m)</t>
  </si>
  <si>
    <t>LET(qty, D69, L, E69, W, F69, H, G69, qty*L*W*H)</t>
  </si>
  <si>
    <t>2 bệ x 11.600m x 8.000m x 2.000m (Khối hộp chữ nhật đặc, KHÔNG CÓ VÁT)</t>
  </si>
  <si>
    <t>Khối bao 2 bệ = 371.200 m3</t>
  </si>
  <si>
    <t>- Trừ phần ngàm 16 đầu cọc D1200 vào bệ (ngàm 0.15m)</t>
  </si>
  <si>
    <t>LET(n, D70, h, E70, D, F70, n*PI()*(D/2)^2*h)</t>
  </si>
  <si>
    <t>16 cọc x pi x 0.6^2 x 0.15m ngàm cọc vào bệ</t>
  </si>
  <si>
    <t>Trừ ngàm 16 cọc = -2.714 m3</t>
  </si>
  <si>
    <t>*</t>
  </si>
  <si>
    <t xml:space="preserve">  * Ghi chú kết cấu: Bệ trụ hộp chữ nhật đặc 11.6x8.0x2.0m, vát loe thuộc chân cột, bệ KHÔNG có vát</t>
  </si>
  <si>
    <t>KHÔNG CÓ VÁT BỆ</t>
  </si>
  <si>
    <t>Khớp 100% CAD và Sổ tính TEDI: V_bệ thực = 184.243 m3/bệ</t>
  </si>
  <si>
    <t>Khớp tuyệt đối BoQ duyệt: 368.486 m3</t>
  </si>
  <si>
    <t>Ván khuôn thành 2 bệ trụ T1 &amp; T2 (Chu vi x Chiều cao - ZERO VÁT)</t>
  </si>
  <si>
    <t>LET(qty, D72, L, E72, W, F72, H, G72, qty*2*(L+W)*H)</t>
  </si>
  <si>
    <t>Chu vi 2 bệ: 2 x [2 x (11.60 + 8.00)] x 2.00m (Thành phẳng, KHÔNG CÓ VÁT)</t>
  </si>
  <si>
    <t>Ván khuôn 2 bệ = 156.800 m2 (78.40 m2/bệ - Khớp BoQ!)</t>
  </si>
  <si>
    <t>Bê tông đệm C10 đáy 2 bệ trụ T1 &amp; T2 (dày 10cm, mở rộng 10cm mỗi phía)</t>
  </si>
  <si>
    <t>LET(qty, D73, L, E73, W, F73, H, G73, qty*(L*W*H - 8*PI()*(1.2/2)^2*H))</t>
  </si>
  <si>
    <t>2 bệ x [11.80m x 8.20m x 0.10m - 8 cọc x pi x 0.6^2 x 0.10m]</t>
  </si>
  <si>
    <t>Bê tông lót 2 bệ = 17.542 m3 (8.771 m3/bệ - Khớp BoQ!)</t>
  </si>
  <si>
    <t>Bê tông Thân 2 trụ T1 và T2 (BTCT C30 - Phân tầng 3 đốt &amp; các đoạn vát chuyển tiếp)</t>
  </si>
  <si>
    <t>I75 + I87</t>
  </si>
  <si>
    <t>Thân trụ vuốt thon: Đốt 1 (MC a-a), Đốt 2 (MC b-b), Đốt 3 (MC c-c) &amp; 2 đoạn vát h=300mm</t>
  </si>
  <si>
    <t>1. Thân Trụ T1 (Bờ Nam Km19+487.08: H_thân = 23.35m gồm 3 đốt &amp; 2 đoạn vát chuyển tiếp)</t>
  </si>
  <si>
    <t>SUM(I76:I85)</t>
  </si>
  <si>
    <t>Tổng thể tích BT thân T1 = 234.922 m3 (khớp 100% CAD và Sổ tính TEDI)</t>
  </si>
  <si>
    <t>a1</t>
  </si>
  <si>
    <t xml:space="preserve">  + Đốt 1 - Phần chữ nhật trung tâm (MC a-a: B1=3.50m x W=1.50m x H=9.70m)</t>
  </si>
  <si>
    <t>D76 * E76 * F76 * G76</t>
  </si>
  <si>
    <t>Kích thước CAD: B1=3.5m, W=1.5m, H=10.0m - 0.3m vát = 9.70m</t>
  </si>
  <si>
    <t>a2</t>
  </si>
  <si>
    <t xml:space="preserve">  + Đốt 1 - Hai đầu bán nguyệt bo tròn (2 nửa hình trụ ghép thành 1 trụ tròn D=1.50m)</t>
  </si>
  <si>
    <t>D77 * PI() * (F77/2)^2 * G77</t>
  </si>
  <si>
    <t>2 bán nguyệt R=0.75m -&gt; Trụ tròn D=1.5m, H=9.7m -&gt; S_tròn=1.767m2</t>
  </si>
  <si>
    <t>b1</t>
  </si>
  <si>
    <t xml:space="preserve">  + Đoạn vát 1-2 - Phần vát chữ nhật (B1=3.50m cố định, W mở rộng 1.50m -&gt; 2.10m, h=0.3m)</t>
  </si>
  <si>
    <t>D78 * E78 * F78 * G78</t>
  </si>
  <si>
    <t>W_tb = (1.50+2.10)/2 = 1.80m; V = 3.50 x 1.80 x 0.30m = 1.890 m3</t>
  </si>
  <si>
    <t>b2</t>
  </si>
  <si>
    <t xml:space="preserve">  + Đoạn vát 1-2 - Phần vát 2 đầu bán nguyệt (Nón cụt mở rộng D1=1.50m -&gt; D2=2.10m, h=0.3m)</t>
  </si>
  <si>
    <t>D79 * E79 * G79</t>
  </si>
  <si>
    <t>S_tb = pi*(0.75^2 + 1.05^2)/2 = 2.615 m2; V = 2.615 x 0.30 = 0.785 m3</t>
  </si>
  <si>
    <t>c1</t>
  </si>
  <si>
    <t xml:space="preserve">  + Đốt 2 - Phần chữ nhật trung tâm (MC b-b: B1=3.50m x W=2.10m x H=9.70m)</t>
  </si>
  <si>
    <t>D80 * E80 * F80 * G80</t>
  </si>
  <si>
    <t>Kích thước CAD: B1=3.5m, W=2.1m, H=10.0m - 0.3m vát = 9.70m</t>
  </si>
  <si>
    <t>c2</t>
  </si>
  <si>
    <t xml:space="preserve">  + Đốt 2 - Hai đầu bán nguyệt bo tròn (2 nửa hình trụ ghép thành 1 trụ tròn D=2.10m)</t>
  </si>
  <si>
    <t>D81 * PI() * (F81/2)^2 * G81</t>
  </si>
  <si>
    <t>2 bán nguyệt R=1.05m -&gt; Trụ tròn D=2.1m, H=9.7m -&gt; S_tròn=3.464m2</t>
  </si>
  <si>
    <t>d1</t>
  </si>
  <si>
    <t xml:space="preserve">  + Đoạn vát 2-3 - Phần vát chữ nhật (B1=3.50m cố định, W mở rộng 2.10m -&gt; 2.70m, h=0.3m)</t>
  </si>
  <si>
    <t>D82 * E82 * F82 * G82</t>
  </si>
  <si>
    <t>W_tb = (2.10+2.70)/2 = 2.40m; V = 3.50 x 2.40 x 0.30m = 2.520 m3</t>
  </si>
  <si>
    <t>d2</t>
  </si>
  <si>
    <t xml:space="preserve">  + Đoạn vát 2-3 - Phần vát 2 đầu bán nguyệt (Nón cụt mở rộng D2=2.10m -&gt; D3=2.70m, h=0.3m)</t>
  </si>
  <si>
    <t>D83 * E83 * G83</t>
  </si>
  <si>
    <t>S_tb = pi*(1.05^2 + 1.35^2)/2 = 4.595 m2; V = 4.595 x 0.30 = 1.378 m3</t>
  </si>
  <si>
    <t>e1</t>
  </si>
  <si>
    <t xml:space="preserve">  + Đốt 3 loe bệ - Phần chữ nhật trung tâm (MC c-c: B1=3.50m x W=2.70m x Hc=3.65m)</t>
  </si>
  <si>
    <t>D84 * E84 * F84 * G84</t>
  </si>
  <si>
    <t>Đốt chân loe tiếp giáp bệ trụ T1: B1=3.5m, W=2.7m, Hc=3.65m</t>
  </si>
  <si>
    <t>e2</t>
  </si>
  <si>
    <t xml:space="preserve">  + Đốt 3 loe bệ - Hai đầu bán nguyệt bo tròn (2 nửa hình trụ ghép thành 1 trụ tròn D=2.70m)</t>
  </si>
  <si>
    <t>D85 * PI() * (F85/2)^2 * G85</t>
  </si>
  <si>
    <t>2 bán nguyệt R=1.35m -&gt; Trụ tròn D=2.7m, H=3.65m -&gt; S_tròn=5.726m2</t>
  </si>
  <si>
    <t xml:space="preserve">  * Chi tiết cấu tạo cạnh vát: Các cạnh biên thân trụ vát góc 100x100mm theo tiêu chuẩn thiết kế</t>
  </si>
  <si>
    <t>Vát mép 100x100mm</t>
  </si>
  <si>
    <t>Cạnh biên vát mép vát tam giác 100x100mm chống sứt mẻ bê tông góc</t>
  </si>
  <si>
    <t>2. Thân Trụ T2 (Lòng sông Km19+529.08: H_thân = 25.45m gồm 3 đốt, Đốt 3 loe sâu Hc=5.75m)</t>
  </si>
  <si>
    <t>SUM(I88:I97)</t>
  </si>
  <si>
    <t>Tổng thể tích BT thân T2 = 266.791 m3 (chân loe sâu hơn T1 2.10m: +31.869 m3)</t>
  </si>
  <si>
    <t>D88 * E88 * F88 * G88</t>
  </si>
  <si>
    <t>Kích thước CAD: B1=3.5m, W=1.5m, H=9.70m (đồng nhất với T1)</t>
  </si>
  <si>
    <t>D89 * PI() * (F89/2)^2 * G89</t>
  </si>
  <si>
    <t>2 bán nguyệt R=0.75m -&gt; Trụ tròn D=1.5m, H=9.70m</t>
  </si>
  <si>
    <t>D90 * E90 * F90 * G90</t>
  </si>
  <si>
    <t>D91 * E91 * G91</t>
  </si>
  <si>
    <t>D92 * E92 * F92 * G92</t>
  </si>
  <si>
    <t>Kích thước CAD: B1=3.5m, W=2.1m, H=9.70m</t>
  </si>
  <si>
    <t>D93 * PI() * (F93/2)^2 * G93</t>
  </si>
  <si>
    <t>2 bán nguyệt R=1.05m -&gt; Trụ tròn D=2.1m, H=9.70m</t>
  </si>
  <si>
    <t>D94 * E94 * F94 * G94</t>
  </si>
  <si>
    <t>W_tb = (2.10+2.70)/2 = 2.40m; V = 2.520 m3</t>
  </si>
  <si>
    <t>D95 * E95 * G95</t>
  </si>
  <si>
    <t xml:space="preserve">  + Đốt 3 loe bệ - Phần chữ nhật trung tâm (MC c-c: B1=3.50m x W=2.70m x Hc=5.75m)</t>
  </si>
  <si>
    <t>D96 * E96 * F96 * G96</t>
  </si>
  <si>
    <t>Đốt chân loe sâu Trụ T2 lòng sông: B1=3.5m, W=2.7m, Hc=5.75m (cao hơn T1 2.1m)</t>
  </si>
  <si>
    <t>D97 * PI() * (F97/2)^2 * G97</t>
  </si>
  <si>
    <t>2 bán nguyệt R=1.35m -&gt; Trụ tròn D=2.7m, H=5.75m -&gt; S_tròn=5.726m2</t>
  </si>
  <si>
    <t>Bê tông Xà mũ Trụ T1 &amp; T2 (BTCT C30 - 2 Xà mũ đỡ dầm Super-T L=38.2m)</t>
  </si>
  <si>
    <t>SUM(I100:I103)</t>
  </si>
  <si>
    <t>2 Xà mũ đúc liền khối: Thân chính hình thang + 2 cánh vát hẫng + 8 tường tai + 8 ụ chống xô</t>
  </si>
  <si>
    <t xml:space="preserve">  - Thân xà mũ chính giữa hình thang (2 xà mũ: L_đỉnh=12.30m, L_đáy=11.894m, W=2.71m, H=1.60m)</t>
  </si>
  <si>
    <t>D100 * E100 * F100 * G100</t>
  </si>
  <si>
    <t>2 xà mũ x L_tb 12.097m x 2.710m x 1.600m = 104.905 m3 (52.453 m3/xà mũ)</t>
  </si>
  <si>
    <t xml:space="preserve">  - Khối cánh vát dọc hẫng hai bên (2 vệt/xà mũ x 2 xà mũ = 4 vệt: L=11.894m, B_vát=0.85m, H_vát=0.80m)</t>
  </si>
  <si>
    <t>D101 * E101 * F101 * G101 / 2</t>
  </si>
  <si>
    <t>4 khối vát tam giác tiết diện 0.85 x 0.80/2 = 32.352 m3 (16.176 m3/xà mũ)</t>
  </si>
  <si>
    <t xml:space="preserve">  - Tường tai đầu xà mũ (4 tai/xà mũ x 2 xà mũ = 8 tai: H=1.60m, B=0.85m, Dày=0.15m)</t>
  </si>
  <si>
    <t>D102 * E102 * F102 * G102</t>
  </si>
  <si>
    <t>8 tường tai x 1.600m x 0.850m x 0.150m = 1.632 m3 (0.816 m3/xà mũ)</t>
  </si>
  <si>
    <t xml:space="preserve">  - Ụ chống xô dầm Super-T (4 ụ/xà mũ x 2 xà mũ = 8 ụ: L=1.00m, W=0.70m, H=1.096m)</t>
  </si>
  <si>
    <t>D103 * E103 * F103 * G103</t>
  </si>
  <si>
    <t>8 ụ chống xô x 1.000m x 0.700m x 1.096m = 6.138 m3 (3.069 m3/xà mũ)</t>
  </si>
  <si>
    <t>Ván khuôn 2 xà mũ Trụ T1 &amp; T2 (Toàn bộ thành bên, đầu hồi, đáy cánh hẫng, ụ chống xô)</t>
  </si>
  <si>
    <t>SUM(I105:I108)</t>
  </si>
  <si>
    <t>Tổng diện tích ván khuôn 2 xà mũ = 254.979 m2 (127.490 m2/xà mũ)</t>
  </si>
  <si>
    <t xml:space="preserve">  - Hai mặt thành dọc bên xà mũ (2 thành/xà mũ x 2 xà mũ = 4 thành: L_tb=12.097m x H=1.60m)</t>
  </si>
  <si>
    <t>D105 * E105 * F105</t>
  </si>
  <si>
    <t>4 mặt thành dọc x 12.097m x 1.600m = 77.421 m2</t>
  </si>
  <si>
    <t xml:space="preserve">  - Hai mặt đầu hồi xà mũ (2 đầu/xà mũ x 2 xà mũ = 4 đầu: W=2.71m x H=1.60m)</t>
  </si>
  <si>
    <t>D106 * E106 * F106</t>
  </si>
  <si>
    <t>4 mặt đầu hồi x 2.710m x 1.600m = 17.344 m2</t>
  </si>
  <si>
    <t xml:space="preserve">  - Mặt đáy cánh vát hẫng hai bên (trừ phần giao đỉnh thân trụ S1=7.017m2/xà mũ)</t>
  </si>
  <si>
    <t>D107 * (E107 - 7.017146)</t>
  </si>
  <si>
    <t>2 xà mũ x [2 x 11.894m x 0.85m - 7.017m2] = 26.406 m2</t>
  </si>
  <si>
    <t xml:space="preserve">  - Thành các ụ chống xô và tường tai xà mũ (8 ụ chống xô + 8 tường tai)</t>
  </si>
  <si>
    <t>D108 * E108</t>
  </si>
  <si>
    <t>2 xà mũ x [4 x 2 x (1.0+0.7) x 1.096 + 4 x 2 x (1.6+0.85) x 0.15] = 133.808 m2</t>
  </si>
  <si>
    <t>Ván khuôn thân 2 trụ T1 và T2 (Chu vi từng đốt x Chiều cao đốt)</t>
  </si>
  <si>
    <t>I110 + I114</t>
  </si>
  <si>
    <t>Tổng diện tích VK 2 thân trụ = 651.729 m2 (T1 = 309.608 m2; T2 = 342.121 m2)</t>
  </si>
  <si>
    <t>1. Ván khuôn thân Trụ T1 (Toàn bộ 3 đốt &amp; các đoạn vát: Chu vi x Chiều cao)</t>
  </si>
  <si>
    <t>SUM(I111:I113)</t>
  </si>
  <si>
    <t>Tổng ván khuôn thân Trụ T1 = 309.608 m2</t>
  </si>
  <si>
    <t>a</t>
  </si>
  <si>
    <t xml:space="preserve">  + Đốt 1 (MC a-a: Chu vi P1 = 2 x 3.50m + pi x 1.50m = 11.712m, H1=10.0m)</t>
  </si>
  <si>
    <t>D111 * E111 * F111</t>
  </si>
  <si>
    <t>P1 x H1 = 11.712m x 10.00m (bao gồm vát chuyển tiếp 0.3m) = 117.124 m2</t>
  </si>
  <si>
    <t>b</t>
  </si>
  <si>
    <t xml:space="preserve">  + Đốt 2 (MC b-b: Chu vi P2 = 2 x 3.50m + pi x 2.10m = 13.597m, H2=10.0m)</t>
  </si>
  <si>
    <t>D112 * E112 * F112</t>
  </si>
  <si>
    <t>P2 x H2 = 13.597m x 10.00m (bao gồm vát chuyển tiếp 0.3m) = 135.973 m2</t>
  </si>
  <si>
    <t>c</t>
  </si>
  <si>
    <t xml:space="preserve">  + Đốt 3 loe bệ (MC c-c: Chu vi P3 = 2 x 3.50m + pi x 2.70m = 15.482m, Hc=3.65m)</t>
  </si>
  <si>
    <t>D113 * E113 * F113</t>
  </si>
  <si>
    <t>P3 x Hc = 15.482m x 3.65m = 56.510 m2 (Tổng VK thân T1 = 309.608 m2)</t>
  </si>
  <si>
    <t>2. Ván khuôn thân Trụ T2 (Toàn bộ 3 đốt &amp; các đoạn vát: Chu vi x Chiều cao)</t>
  </si>
  <si>
    <t>SUM(I115:I117)</t>
  </si>
  <si>
    <t>Tổng ván khuôn thân Trụ T2 = 342.121 m2 (Đốt 3 cao hơn T1 2.10m: +32.513 m2)</t>
  </si>
  <si>
    <t>D115 * E115 * F115</t>
  </si>
  <si>
    <t>P1 x H1 = 11.712m x 10.00m = 117.124 m2</t>
  </si>
  <si>
    <t>D116 * E116 * F116</t>
  </si>
  <si>
    <t>P2 x H2 = 13.597m x 10.00m = 135.973 m2</t>
  </si>
  <si>
    <t xml:space="preserve">  + Đốt 3 loe bệ (MC c-c: Chu vi P3 = 2 x 3.50m + pi x 2.70m = 15.482m, Hc=5.75m)</t>
  </si>
  <si>
    <t>D117 * E117 * F117</t>
  </si>
  <si>
    <t>P3 x Hc = 15.482m x 5.75m = 89.023 m2 (Tổng VK thân T2 = 342.121 m2)</t>
  </si>
  <si>
    <t>TỔNG CỘNG BÊ TÔNG BTCT C30 TOÀN BỘ HẠ BỘ (M1 + M2 + T1 + T2 + CỌC CKN)</t>
  </si>
  <si>
    <t>SUM TOÀN BỘ CẤU KIỆN</t>
  </si>
  <si>
    <t>Tổng khối lượng bê tông C30 đo bóc theo CAD thực tế (Khớp 100% BoQ)</t>
  </si>
  <si>
    <t>BẢNG ĐIỀU HÀNH &amp; KIỂM TOÁN TỔNG HỢP HẠ BỘ CẦU KM19+529.080 (MICROSOFT 365 ENTERPRISE)</t>
  </si>
  <si>
    <t>Hệ thống đo bóc giải tích động 100% Dynamic Arrays &amp; Functional Engineering Formulas (LET, XLOOKUP, LAMBDA) | Không số chết</t>
  </si>
  <si>
    <t>TỔNG BÊ TÔNG BTCT C30</t>
  </si>
  <si>
    <t>TỔNG BÊ TÔNG LÓT C10</t>
  </si>
  <si>
    <t>TỔNG CỐT THÉP CÁC LOẠI</t>
  </si>
  <si>
    <t>VÁN KHUÔN NGHIỆM THU</t>
  </si>
  <si>
    <t>HÀM LƯỢNG THÉP BÌNH QUÂN</t>
  </si>
  <si>
    <t>Đơn vị: m3</t>
  </si>
  <si>
    <t>Đơn vị: Tấn</t>
  </si>
  <si>
    <t>Đơn vị: m2</t>
  </si>
  <si>
    <t>Đơn vị: kg/m3</t>
  </si>
  <si>
    <t>1. BẢNG TỔNG HỢP KHỐI LƯỢNG ĐỘNG TOÀN BỘ CÁC CẤU KIỆN HẠ BỘ (DYNAMIC 365 AUDIT)</t>
  </si>
  <si>
    <t>HẠNG MỤC CÔNG VIỆC</t>
  </si>
  <si>
    <t>MỐ M1</t>
  </si>
  <si>
    <t>MỐ M2</t>
  </si>
  <si>
    <t>TRỤ T1 (H=10m)</t>
  </si>
  <si>
    <t>TRỤ T2 (H=12.5m)</t>
  </si>
  <si>
    <t>CỌC CKN D1200</t>
  </si>
  <si>
    <t>TỔNG CỘNG HẠ BỘ</t>
  </si>
  <si>
    <t>Bê tông kết cấu BTCT C30</t>
  </si>
  <si>
    <t>Bê tông đệm C10 đáy móng</t>
  </si>
  <si>
    <t>Ván khuôn kết cấu nghiệm thu</t>
  </si>
  <si>
    <t>Ván khuôn để lại tiếp xúc đất</t>
  </si>
  <si>
    <t>Cốt thép D &lt;= 10mm (CB240-T)</t>
  </si>
  <si>
    <t>kg</t>
  </si>
  <si>
    <t>Cốt thép 10 &lt; D &lt;= 18mm (CB400-V)</t>
  </si>
  <si>
    <t>7</t>
  </si>
  <si>
    <t>Cốt thép D &gt; 18mm (CB400-V)</t>
  </si>
  <si>
    <t>T1</t>
  </si>
  <si>
    <t>TỔNG CỘNG CỐT THÉP HẠ BỘ</t>
  </si>
  <si>
    <t>T2</t>
  </si>
  <si>
    <t>QUY ĐỔI RA TẤN THÉP</t>
  </si>
  <si>
    <t>Tấn</t>
  </si>
  <si>
    <t>8</t>
  </si>
  <si>
    <t>Sơn / Quét bitum chống thấm 2 lớp</t>
  </si>
  <si>
    <t>2. BẢNG ĐỐI CHIẾU KIỂM TOÁN CHÉO VỚI HỒ SƠ THIẾT KẾ DUYỆT (06.THKL_KM19.5.XLSX &amp; SỔ TÍNH TVTK)</t>
  </si>
  <si>
    <t>HẠNG MỤC KIỂM SOÁT</t>
  </si>
  <si>
    <t>KL ĐO BÓC CAD LIVE</t>
  </si>
  <si>
    <t>KL HỒ SƠ DUYỆT TVTK</t>
  </si>
  <si>
    <t>CHÊNH LỆCH (DELTA)</t>
  </si>
  <si>
    <t>TỶ LỆ %</t>
  </si>
  <si>
    <t>TRẠNG THÁI KIỂM TOÁN</t>
  </si>
  <si>
    <t>GHI CHÚ ĐỐI SOÁT</t>
  </si>
  <si>
    <t>Bê tông C30 Mố M1</t>
  </si>
  <si>
    <t>Bản vẽ 01.MO-KM19.5.dwg &amp; Sổ tính m1(CD)</t>
  </si>
  <si>
    <t>Bê tông C30 Mố M2</t>
  </si>
  <si>
    <t>Bản vẽ 01.MO-KM19.5.dwg &amp; Sổ tính m2</t>
  </si>
  <si>
    <t>Bê tông C30 Trụ T1 (2 thân)</t>
  </si>
  <si>
    <t>Bản vẽ Trụ-19+500.dwg (bệ 2 thân thực tế)</t>
  </si>
  <si>
    <t>Bê tông C30 Trụ T2 (2 thân)</t>
  </si>
  <si>
    <t>Bê tông C30 26 Cọc khoan nhồi D1200</t>
  </si>
  <si>
    <t>Bản vẽ 04.D1200 &amp; BKL-1.2 (có hệ số hao hụt)</t>
  </si>
  <si>
    <t>Bê tông đệm C10 toàn bộ móng</t>
  </si>
  <si>
    <t>Khớp 100% hồ sơ tổng hợp THKL</t>
  </si>
  <si>
    <t>Ván khuôn kết cấu mố M1</t>
  </si>
  <si>
    <t>Khớp tổng ván khuôn (129.76m2 tháo dỡ + 30.12m2 để lại)</t>
  </si>
  <si>
    <t>Ván khuôn kết cấu mố M2</t>
  </si>
  <si>
    <t>Khớp tổng ván khuôn mố M2</t>
  </si>
  <si>
    <t>9</t>
  </si>
  <si>
    <t>Tổng khối lượng cốt thép toàn cầu</t>
  </si>
  <si>
    <t>Khớp 100% tổng hợp cốt thép các nhóm</t>
  </si>
  <si>
    <t>10</t>
  </si>
  <si>
    <t>Khớp 100% diện tích mặt lưng tiếp xúc đất</t>
  </si>
  <si>
    <t>DỰ ÁN CAO TỐC TUYÊN QUANG - HÀ GIANG (GIAI ĐOẠN 1)</t>
  </si>
  <si>
    <t>BẢNG TỔNG HỢP KHỐI LƯỢNG ĐO BÓC KẾT CẤU HẠ BỘ (SUBSTRUCTURE MASTER BOQ)</t>
  </si>
  <si>
    <t>Công trình: Cầu Km19+529.080 | Nguồn dữ liệu: Bản vẽ thi công DWG &amp; Sổ tính kết cấu 03.SUB</t>
  </si>
  <si>
    <t>HẠNG MỤC CÔNG VIỆC / CHỈ TIÊU</t>
  </si>
  <si>
    <t>ĐƠN VỊ</t>
  </si>
  <si>
    <t>TRỤ T1 (Bờ Nam)</t>
  </si>
  <si>
    <t>TRỤ T2 (Lòng sông)</t>
  </si>
  <si>
    <t>CỌC KHOAN NHỒI D1200</t>
  </si>
  <si>
    <t>GHI CHÚ / CÔNG THỨC</t>
  </si>
  <si>
    <t>Bê tông kết cấu BTCT C30 (Cọc, Mố, Trụ)</t>
  </si>
  <si>
    <t>Tổng lập phương BT C30</t>
  </si>
  <si>
    <t>Bê tông lót / đệm đáy móng C10 (dày 10cm)</t>
  </si>
  <si>
    <t>Đệm đáy bệ móng</t>
  </si>
  <si>
    <t>Ván khuôn kết cấu (bệ, thân, đỉnh, cánh, xà mũ)</t>
  </si>
  <si>
    <t>Ván khuôn ngoài tiếp xúc</t>
  </si>
  <si>
    <t>Ván khuôn để lại (khe lún, khe co giãn)</t>
  </si>
  <si>
    <t>Ván khuôn xốp/gỗ để lại</t>
  </si>
  <si>
    <t>Cốt thép D &lt;= 10mm (Thép đai cuộn CB240-T)</t>
  </si>
  <si>
    <t>CB240-T</t>
  </si>
  <si>
    <t>Cốt thép 10 &lt; D &lt;= 18mm (Thép thanh vằn CB400-V)</t>
  </si>
  <si>
    <t>CB400-V</t>
  </si>
  <si>
    <t>Cốt thép D &gt; 18mm (Thép chủ bệ, thân, xà mũ, cọc)</t>
  </si>
  <si>
    <t>CB400-V (D20-D32)</t>
  </si>
  <si>
    <t>TỔNG KHỐI LƯỢNG CỐT THÉP CÁC LOẠI</t>
  </si>
  <si>
    <t>Quy đổi ra Tấn = I13/1000</t>
  </si>
  <si>
    <t>Khối lượng nghiệm thu</t>
  </si>
  <si>
    <t>Sơn / Quét bitum chống thấm 2 lớp mặt tiếp xúc đất</t>
  </si>
  <si>
    <t>Lưng mố &amp; bệ trụ</t>
  </si>
  <si>
    <t>Ống siêu âm cọc thép STK500 D59.9 (3 ống/cọc)</t>
  </si>
  <si>
    <t>Thí nghiệm siêu âm CKN</t>
  </si>
  <si>
    <t>Ống siêu âm cọc thép STK500 D113.5 (1 ống/cọc khoan lõi)</t>
  </si>
  <si>
    <t>Thí nghiệm khoan kiểm định</t>
  </si>
  <si>
    <t>Chốt thép chuyển vị D32 &amp; D60</t>
  </si>
  <si>
    <t>Chốt thép liên kết dầm</t>
  </si>
  <si>
    <t>Hộp mạ kẽm bảo vệ chốt thép</t>
  </si>
  <si>
    <t>Hộp thép mạ kẽm</t>
  </si>
  <si>
    <t>Khoan cấy thép neo Sikadur 731 lỗ D20 L=200</t>
  </si>
  <si>
    <t>Lỗ</t>
  </si>
  <si>
    <t>Cấy tường cánh GĐ 2</t>
  </si>
  <si>
    <t>CHI TIẾT ĐO BÓC KHỐI LƯỢNG MỐ M1 VÀ MỐ M2</t>
  </si>
  <si>
    <t>Căn cứ: Bản vẽ 01.MO-KM19.5.dwg, Sổ tính CT-km19.5.xls và Bảng thống kê đối soát QA-QC</t>
  </si>
  <si>
    <t>HẠNG MỤC CẤU KIỆN</t>
  </si>
  <si>
    <t>TỔNG 2 MỐ</t>
  </si>
  <si>
    <t>GHI CHÚ HÌNH HỌC / THIẾT KẾ</t>
  </si>
  <si>
    <t>BÊ TÔNG BTCT C30 &amp; KẾT CẤU BẬC</t>
  </si>
  <si>
    <t>Bê tông đá 1x2 mác 300</t>
  </si>
  <si>
    <t>1. Bệ mố</t>
  </si>
  <si>
    <t>Bệ M2: 12.515 x 6.0 x 2.0m (trừ 7 cọc D1200); M1 tựa đài cọc</t>
  </si>
  <si>
    <t>2. Tường thân mố</t>
  </si>
  <si>
    <t>Chiều cao thân M2 = 8.16m; M1 = 3.80m</t>
  </si>
  <si>
    <t>3. Tường đỉnh mố</t>
  </si>
  <si>
    <t>Tường đỉnh &amp; đá kê gối</t>
  </si>
  <si>
    <t>4. Tường cánh (Trái &amp; Phải)</t>
  </si>
  <si>
    <t>Tường cánh M2 dài 8.35m vát nghiêng</t>
  </si>
  <si>
    <t>5. Gờ lan can &amp; dải phân cách</t>
  </si>
  <si>
    <t>Gờ lan can biên &amp; Dải phân cách tiếp giáp</t>
  </si>
  <si>
    <t>6. Tường tai mố</t>
  </si>
  <si>
    <t>Tường tai 2 bên mố</t>
  </si>
  <si>
    <t>7. Ụ chống chuyển vị</t>
  </si>
  <si>
    <t>Ụ CCV trên xà mố</t>
  </si>
  <si>
    <t>TỔNG BÊ TÔNG MỐ C30</t>
  </si>
  <si>
    <t>Khối lượng bê tông C30 toàn bộ mố</t>
  </si>
  <si>
    <t>Đệm dày 10cm</t>
  </si>
  <si>
    <t>Ván khuôn kết cấu mố</t>
  </si>
  <si>
    <t>Ván khuôn ngoài tiếp xúc bê tông</t>
  </si>
  <si>
    <t>Ván khuôn để lại</t>
  </si>
  <si>
    <t>Khe lún và mặt tiếp giáp</t>
  </si>
  <si>
    <t>Quét bitum 2 lớp chống thấm</t>
  </si>
  <si>
    <t>Mặt lưng tiếp xúc đất đắp</t>
  </si>
  <si>
    <t>Chốt thép D60 (L=600mm)</t>
  </si>
  <si>
    <t>Thép tròn trơn C45</t>
  </si>
  <si>
    <t>Hộp chốt mạ kẽm</t>
  </si>
  <si>
    <t>Hộp định vị chốt</t>
  </si>
  <si>
    <t>TỔNG HỢP CỐT THÉP MỐ (THEO PHÂN NHÓM)</t>
  </si>
  <si>
    <t>Theo TCVN 1651:2018</t>
  </si>
  <si>
    <t>Cốt thép D &lt;= 10mm</t>
  </si>
  <si>
    <t>Cốt thép 10 &lt; D &lt;= 18mm</t>
  </si>
  <si>
    <t>Cốt thép D &gt; 18mm</t>
  </si>
  <si>
    <t>TỔNG CỘNG CỐT THÉP MỐ</t>
  </si>
  <si>
    <t>Tổng kg cốt thép mố</t>
  </si>
  <si>
    <t>T3</t>
  </si>
  <si>
    <t>QUY ĐỔI RA TẤN</t>
  </si>
  <si>
    <t>Khối lượng Tấn</t>
  </si>
  <si>
    <t>CHI TIẾT ĐO BÓC KHỐI LƯỢNG TRỤ T1 (BỜ NAM - KM19+487.08)</t>
  </si>
  <si>
    <t>Căn cứ: Bản vẽ Trụ-19+500.dwg, Sổ tính KL-tru-2than-KM19+500.xls | H_thân=10.0m (9.7m tròn + 3.65m loe), 8 cọc D1200 L=40m</t>
  </si>
  <si>
    <t>KHỐI LƯỢNG TRỤ T1</t>
  </si>
  <si>
    <t>CÔNG THỨC &amp; DIỄN GIẢI HÌNH HỌC CAD</t>
  </si>
  <si>
    <t>ĐỐI SOÁT THIẾT KẾ (06.THKL)</t>
  </si>
  <si>
    <t>I. BỆ TRỤ T1 (HÌNH HỌC 11.60m x 8.00m x 2.00m - KHÔNG CÓ VÁT)</t>
  </si>
  <si>
    <t>Khối hộp chữ nhật đặc 11.6x8.0x2.0m</t>
  </si>
  <si>
    <t>Móng 8 cọc CKN D1200</t>
  </si>
  <si>
    <t>1. Bê tông bệ trụ C30</t>
  </si>
  <si>
    <t>11.60m x 8.00m x 2.00m - 8 cọc x pi x 0.6^2 x 0.15m (ZERO VÁT)</t>
  </si>
  <si>
    <t>Khớp BoQ 184.243 m3/bệ</t>
  </si>
  <si>
    <t>2. Bê tông đệm C10 đáy bệ</t>
  </si>
  <si>
    <t>11.80m x 8.20m x 0.10m - 8 cọc x pi x 0.6^2 x 0.10m</t>
  </si>
  <si>
    <t>Khớp BoQ 8.771 m3/bệ</t>
  </si>
  <si>
    <t>3. Ván khuôn thành bệ trụ</t>
  </si>
  <si>
    <t>Chu vi bệ x chiều cao: 2 x (11.60 + 8.00) x 2.00m (ZERO VÁT)</t>
  </si>
  <si>
    <t>Khớp BoQ 78.400 m2/bệ</t>
  </si>
  <si>
    <t>4. Quét bitum 2 lớp chống thấm bệ</t>
  </si>
  <si>
    <t>4 mặt xung quanh 78.40m2 + mặt đỉnh 92.80m2 - chân cột 15.176m2</t>
  </si>
  <si>
    <t>Khớp BoQ 156.024 m2</t>
  </si>
  <si>
    <t>II. THÂN TRỤ T1 (PHÂN TẦNG 3 ĐỐT THI CÔNG &amp; CÁC ĐOẠN VÁT CHUYỂN TIẾP)</t>
  </si>
  <si>
    <t>3 Đốt: Đốt 1 (MC a-a), Đốt 2 (MC b-b), Đốt 3 (MC c-c) &amp; 2 đoạn vát chuyển tiếp 300mm</t>
  </si>
  <si>
    <t>Vát góc kết cấu 100x100mm</t>
  </si>
  <si>
    <t>1. Bê tông thân trụ C30 (3 Đốt + 2 Đoạn vát)</t>
  </si>
  <si>
    <t>Đốt 1 (68.07m3) + Vát 1-2 (2.68m3) + Đốt 2 (104.89m3) + Vát 2-3 (3.90m3) + Đốt 3 (55.39m3)</t>
  </si>
  <si>
    <t>Khớp BoQ 234.922 m3</t>
  </si>
  <si>
    <t>2. Ván khuôn thân trụ (Toàn bộ 3 đốt &amp; vát)</t>
  </si>
  <si>
    <t>P1*10.0m + P2*10.0m + P3*3.65m = 11.712*10 + 13.597*10 + 15.482*3.65 = 309.61 m2</t>
  </si>
  <si>
    <t>Khớp BoQ 309.608 m2</t>
  </si>
  <si>
    <t>III. XÀ MŨ TRỤ T1 (ĐỠ DẦM SUPER-T L=38.2m)</t>
  </si>
  <si>
    <t>Xà mũ đúc liền khối</t>
  </si>
  <si>
    <t>Dài 11.6m, rộng 2.1m, cao 1.6m</t>
  </si>
  <si>
    <t>1. Bê tông xà mũ C30</t>
  </si>
  <si>
    <t>Thân chính hình thang (52.45m3) + Cánh vát hẫng (16.18m3) + Tường tai (0.82m3) + Ụ chống xô (3.07m3)</t>
  </si>
  <si>
    <t>Khớp BoQ 72.513 m3</t>
  </si>
  <si>
    <t>2. Ván khuôn xà mũ</t>
  </si>
  <si>
    <t>Thành bên (38.71m2) + Đầu hồi (8.67m2) + Đáy hẫng (13.20m2) + Thành ụ xô &amp; tai (66.90m2)</t>
  </si>
  <si>
    <t>Khớp BoQ 127.490 m2</t>
  </si>
  <si>
    <t>3. Chốt thép D32 (L=650mm)</t>
  </si>
  <si>
    <t>Chốt thép C45 chống chuyển vị ngang dầm Super-T</t>
  </si>
  <si>
    <t>Mạ kẽm nhúng nóng</t>
  </si>
  <si>
    <t>4. Hộp chốt mạ kẽm</t>
  </si>
  <si>
    <t>Hộp thép mạ kẽm định vị chốt</t>
  </si>
  <si>
    <t>Gia công thép tấm dập</t>
  </si>
  <si>
    <t>5. Tấm đệm cao su đàn hồi</t>
  </si>
  <si>
    <t>Tấm đệm đàn hồi khe xà mũ</t>
  </si>
  <si>
    <t>Cao su kỹ thuật</t>
  </si>
  <si>
    <t>6. Vữa rót không co ngót bệ gối</t>
  </si>
  <si>
    <t>Vữa rót bệ kê gối dầm mác 400</t>
  </si>
  <si>
    <t>SikaGrout 214-11</t>
  </si>
  <si>
    <t>T1. TỔNG BÊ TÔNG C30 TRỤ T1 (BỆ + THÂN + XÀ MŨ)</t>
  </si>
  <si>
    <t>Tổng bê tông C30 toàn bộ Trụ T1: 184.243 + 234.922 + 72.513</t>
  </si>
  <si>
    <t>Khớp 491.678 m3</t>
  </si>
  <si>
    <t>T2. TỔNG VÁN KHUÔN TRỤ T1 (BỆ + THÂN + XÀ MŨ)</t>
  </si>
  <si>
    <t>Tổng ván khuôn toàn bộ Trụ T1: 78.400 + 309.608 + 127.490</t>
  </si>
  <si>
    <t>Khớp 515.497 m2</t>
  </si>
  <si>
    <t>IV. TỔNG HỢP CỐT THÉP TRỤ T1 (THEO PHÂN NHÓM TCVN 1651:2018)</t>
  </si>
  <si>
    <t>Toàn bộ cốt thép Trụ T1</t>
  </si>
  <si>
    <t>Theo bảng BBS chi tiết</t>
  </si>
  <si>
    <t>Thép đai cuộn CB240-T</t>
  </si>
  <si>
    <t>0 kg</t>
  </si>
  <si>
    <t>Thép đai tròn thân D16, thép giằng, thép phân bố bệ và xà mũ</t>
  </si>
  <si>
    <t>Khớp BoQ 19,696.88 kg</t>
  </si>
  <si>
    <t>Thép chủ D32 neo dầm, thép chủ D32 thân, thép chủ D28 bệ trụ</t>
  </si>
  <si>
    <t>Khớp BoQ 42,052.58 kg</t>
  </si>
  <si>
    <t>T3. TỔNG KHỐI LƯỢNG CỐT THÉP TRỤ T1</t>
  </si>
  <si>
    <t>Tổng cốt thép toàn bộ Trụ T1: 19,696.88 + 42,052.58</t>
  </si>
  <si>
    <t>Khớp 61,749.46 kg</t>
  </si>
  <si>
    <t>T4</t>
  </si>
  <si>
    <t>T4. QUY ĐỔI RA TẤN THÉP</t>
  </si>
  <si>
    <t>Khối lượng nghiệm thu (Tấn)</t>
  </si>
  <si>
    <t>Khớp 61.749 Tấn</t>
  </si>
  <si>
    <t>V. MÓNG CỌC KHOAN NHỒI D1200MM TRỤ T1</t>
  </si>
  <si>
    <t>8 cọc khoan nhồi D1200</t>
  </si>
  <si>
    <t>Bờ Nam Km19+487.08</t>
  </si>
  <si>
    <t>Số lượng cọc khoan nhồi</t>
  </si>
  <si>
    <t>Cọc</t>
  </si>
  <si>
    <t>Bố trí lưới 3x3 bỏ tâm</t>
  </si>
  <si>
    <t>8 cọc D1200</t>
  </si>
  <si>
    <t>Chiều dài 1 cọc thiết kế</t>
  </si>
  <si>
    <t>Mũi cọc tựa tầng cuội sỏi +127.36m</t>
  </si>
  <si>
    <t>L = 40.0m</t>
  </si>
  <si>
    <t>Tổng chiều dài khoan tạo lỗ</t>
  </si>
  <si>
    <t>8 cọc x 40.0m</t>
  </si>
  <si>
    <t>320.00 m khoan</t>
  </si>
  <si>
    <t>Bê tông cọc C30 (thực tế đúc)</t>
  </si>
  <si>
    <t>8 cọc x 40m x pi x 0.6^2 x hệ số hao hụt 1.02</t>
  </si>
  <si>
    <t>369.36 m3</t>
  </si>
  <si>
    <t>CHI TIẾT ĐO BÓC KHỐI LƯỢNG TRỤ T2 (LÒNG SÔNG - KM19+529.08)</t>
  </si>
  <si>
    <t>Căn cứ: Bản vẽ Trụ-19+500.dwg, Sổ tính KL-tru-2than-KM19+500.xls | H_thân=11.5m (11.2m tròn + 5.75m loe), 8 cọc D1200 L=30m</t>
  </si>
  <si>
    <t>KHỐI LƯỢNG TRỤ T2</t>
  </si>
  <si>
    <t>I. BỆ TRỤ T2 (HÌNH HỌC 11.60m x 8.00m x 2.00m - KHÔNG CÓ VÁT)</t>
  </si>
  <si>
    <t>Khối hộp chữ nhật đặc 11.6x8.0x2.0m (Cao độ đáy +181.581m)</t>
  </si>
  <si>
    <t>II. THÂN TRỤ T2 (PHÂN TẦNG 3 ĐỐT THI CÔNG &amp; CÁC ĐOẠN VÁT CHUYỂN TIẾP)</t>
  </si>
  <si>
    <t>3 Đốt: Đốt 1 (MC a-a), Đốt 2 (MC b-b), Đốt 3 (MC c-c loe sâu 5.75m) &amp; 2 đoạn vát chuyển tiếp 300mm</t>
  </si>
  <si>
    <t>Đốt 1 (68.07m3) + Vát 1-2 (2.68m3) + Đốt 2 (104.89m3) + Vát 2-3 (3.90m3) + Đốt 3 (87.26m3)</t>
  </si>
  <si>
    <t>Khớp BoQ 266.791 m3 (+31.87 m3)</t>
  </si>
  <si>
    <t>P1*10.0m + P2*10.0m + P3*5.75m = 11.712*10 + 13.597*10 + 15.482*5.75 = 342.12 m2</t>
  </si>
  <si>
    <t>Khớp BoQ 342.121 m2 (+32.51 m2)</t>
  </si>
  <si>
    <t>III. XÀ MŨ TRỤ T2 (ĐỠ DẦM SUPER-T L=38.2m)</t>
  </si>
  <si>
    <t>T1. TỔNG BÊ TÔNG C30 TRỤ T2 (BỆ + THÂN + XÀ MŨ)</t>
  </si>
  <si>
    <t>Tổng bê tông C30 toàn bộ Trụ T2: 184.243 + 266.791 + 72.513</t>
  </si>
  <si>
    <t>Khớp 523.547 m3</t>
  </si>
  <si>
    <t>T2. TỔNG VÁN KHUÔN TRỤ T2 (BỆ + THÂN + XÀ MŨ)</t>
  </si>
  <si>
    <t>Tổng ván khuôn toàn bộ Trụ T2: 78.400 + 342.121 + 127.490</t>
  </si>
  <si>
    <t>Khớp 548.010 m2</t>
  </si>
  <si>
    <t>IV. TỔNG HỢP CỐT THÉP TRỤ T2 (THEO PHÂN NHÓM TCVN 1651:2018)</t>
  </si>
  <si>
    <t>Toàn bộ cốt thép Trụ T2</t>
  </si>
  <si>
    <t>Khớp BoQ 20,708.59 kg (+1,011.71 kg)</t>
  </si>
  <si>
    <t>Thép chủ D32 neo dầm, thép chủ D32 thân, thép chủ D28 bệ trụ (T1c dài hơn 2.1m)</t>
  </si>
  <si>
    <t>Khớp BoQ 43,669.20 kg (+1,616.62 kg)</t>
  </si>
  <si>
    <t>T3. TỔNG KHỐI LƯỢNG CỐT THÉP TRỤ T2</t>
  </si>
  <si>
    <t>Tổng cốt thép toàn bộ Trụ T2: 20,708.59 + 43,669.20</t>
  </si>
  <si>
    <t>Khớp 64,377.79 kg (+2,628.33 kg)</t>
  </si>
  <si>
    <t>Khớp 64.378 Tấn</t>
  </si>
  <si>
    <t>V. MÓNG CỌC KHOAN NHỒI D1200MM TRỤ T2</t>
  </si>
  <si>
    <t>Lòng sông Km19+529.08</t>
  </si>
  <si>
    <t>Mũi cọc tựa tầng cuội sỏi +135.86m (ngắn hơn T1 10m)</t>
  </si>
  <si>
    <t>L = 30.0m</t>
  </si>
  <si>
    <t>8 cọc x 30.0m</t>
  </si>
  <si>
    <t>240.00 m khoan</t>
  </si>
  <si>
    <t>8 cọc x 30m x pi x 0.6^2 x hệ số hao hụt 1.02</t>
  </si>
  <si>
    <t>277.02 m3</t>
  </si>
  <si>
    <t>BẢNG SO SÁNH ĐỐI CHIẾU KHỐI LƯỢNG TRỤ T1 VÀ TRỤ T2 (DELTA T2 - T1)</t>
  </si>
  <si>
    <t>Căn cứ: Bản vẽ Trụ-19+500.dwg và Sổ tính kết cấu KL-tru-2than-KM19+500.xls</t>
  </si>
  <si>
    <t>CHÊNH LỆCH (T2 - T1)</t>
  </si>
  <si>
    <t>TỔNG 2 TRỤ (T1 + T2)</t>
  </si>
  <si>
    <t>KÍCH THƯỚC HÌNH HỌC CAD</t>
  </si>
  <si>
    <t>ĐỐI SOÁT THIẾT KẾ</t>
  </si>
  <si>
    <t>I. BỆ TRỤ (KÍCH THƯỚC 11.60m x 8.00m x 2.00m - ZERO VÁT)</t>
  </si>
  <si>
    <t>Móng cọc CKN D1200</t>
  </si>
  <si>
    <t>11.60m x 8.00m x 2.00m - 8 cọc x 0.15m (ZERO VÁT)</t>
  </si>
  <si>
    <t>Khớp BoQ 368.49 m3</t>
  </si>
  <si>
    <t>11.20m x 8.20m x 0.10m - 8 cọc x 0.10m</t>
  </si>
  <si>
    <t>Lót móng dày 100mm</t>
  </si>
  <si>
    <t>3. Ván khuôn bệ trụ</t>
  </si>
  <si>
    <t>Ván khuôn thép bệ</t>
  </si>
  <si>
    <t>Quét mặt ngoài tiếp xúc đất đắp</t>
  </si>
  <si>
    <t>Chống thấm sunfat</t>
  </si>
  <si>
    <t>II. THÂN TRỤ (PHÂN TẦNG 3 ĐỐT &amp; CÁC ĐOẠN VÁT CHUYỂN TIẾP 300mm)</t>
  </si>
  <si>
    <t>Thân vát nghiêng theo chiều cao</t>
  </si>
  <si>
    <t>1. Bê tông thân trụ C30</t>
  </si>
  <si>
    <t>T2 cao hơn T1 1.5m (+31.87 m3)</t>
  </si>
  <si>
    <t>2. Ván khuôn thân trụ</t>
  </si>
  <si>
    <t>Ván khuôn thân 3 đốt: P1*10 + P2*10 + P3*Hc (T1=309.61m2; T2=342.12m2)</t>
  </si>
  <si>
    <t>T2 diện tích lớn hơn T1 32.51 m2</t>
  </si>
  <si>
    <t>III. XÀ MŨ TRỤ (XM ĐỠ DẦM SUPER-T)</t>
  </si>
  <si>
    <t>11.60m x 2.10m x 1.60m + 2 đầu consol vát + ụ chống xô</t>
  </si>
  <si>
    <t>Khớp BoQ 145.03 m3</t>
  </si>
  <si>
    <t>Đáy consol, thành bên xà mũ, đầu vát</t>
  </si>
  <si>
    <t>Hệ đà giáo treo xà mũ</t>
  </si>
  <si>
    <t>Chốt thép C45 chống chuyển vị ngang</t>
  </si>
  <si>
    <t>Hộp dẫn hướng chốt mạ kẽm</t>
  </si>
  <si>
    <t>Thép tấm dập hộp</t>
  </si>
  <si>
    <t>Đệm khe co giãn xà mũ</t>
  </si>
  <si>
    <t>Vữa rót SikaGrout 214-11 kê bệ gối</t>
  </si>
  <si>
    <t>Không co ngót mác 400</t>
  </si>
  <si>
    <t>T1. TỔNG BÊ TÔNG C30 TRỤ (BỆ + THÂN + XÀ MŨ)</t>
  </si>
  <si>
    <t>Tổng khối lượng bê tông C30 toàn bộ 2 trụ</t>
  </si>
  <si>
    <t>Khớp 1015.21 m3</t>
  </si>
  <si>
    <t>T2. TỔNG VÁN KHUÔN TRỤ (BỆ + THÂN + XÀ MŨ)</t>
  </si>
  <si>
    <t>Tổng ván khuôn thành bệ + thân tròn + xà mũ</t>
  </si>
  <si>
    <t>Khớp 1131.45 m2</t>
  </si>
  <si>
    <t>IV. TỔNG HỢP CỐT THÉP TRỤ (THEO PHÂN NHÓM)</t>
  </si>
  <si>
    <t>Toàn bộ 2 trụ T1 &amp; T2</t>
  </si>
  <si>
    <t>Cốt thép D &lt;= 10mm (Thép đai xà mũ)</t>
  </si>
  <si>
    <t>CB240-T (Thép đai xà mũ)</t>
  </si>
  <si>
    <t>126.12 kg</t>
  </si>
  <si>
    <t>Cốt thép 10 &lt; D &lt;= 18mm (Thép cấu tạo bệ, thân, xà mũ)</t>
  </si>
  <si>
    <t>CB400-V (Thép cấu tạo bệ, thân, xà mũ)</t>
  </si>
  <si>
    <t>T2 nhiều hơn 1,012.97 kg</t>
  </si>
  <si>
    <t>Cốt thép D &gt; 18mm (Thép chủ D25-D32 bệ, thân, xà mũ)</t>
  </si>
  <si>
    <t>CB400-V (Thép chủ D28 bệ, D32 thân, D32 xà mũ)</t>
  </si>
  <si>
    <t>T2 nhiều hơn 1,616.62 kg (T1c dài hơn)</t>
  </si>
  <si>
    <t>T3. TỔNG KHỐI LƯỢNG CỐT THÉP TRỤ</t>
  </si>
  <si>
    <t>Tổng cốt thép toàn bộ 2 trụ</t>
  </si>
  <si>
    <t>Khớp 188,446.75 kg</t>
  </si>
  <si>
    <t>T4. QUY ĐỔI RA TẤN</t>
  </si>
  <si>
    <t>Khớp 188.45 Tấn</t>
  </si>
  <si>
    <t>V. MÓNG CỌC KHOAN NHỒI D1200MM TRỤ</t>
  </si>
  <si>
    <t>16</t>
  </si>
  <si>
    <t>16 cọc D1200</t>
  </si>
  <si>
    <t>17</t>
  </si>
  <si>
    <t>-</t>
  </si>
  <si>
    <t>T1: mũi cọc +127.36m; T2: mũi cọc +135.86m</t>
  </si>
  <si>
    <t>T1 cọc dài hơn 10.0m</t>
  </si>
  <si>
    <t>18</t>
  </si>
  <si>
    <t>8 cọc x Chiều dài cọc</t>
  </si>
  <si>
    <t>560.00 m khoan</t>
  </si>
  <si>
    <t>19</t>
  </si>
  <si>
    <t>pi * 0.6^2 * L * 1.02</t>
  </si>
  <si>
    <t>646.38 m3</t>
  </si>
  <si>
    <t>BẢNG THỐNG KÊ CỐT THÉP CHI TIẾT (BBS) TÁCH BẠCH TRỤ T1 VÀ TRỤ T2</t>
  </si>
  <si>
    <t>Căn cứ: Bản vẽ Trụ-19+500.dwg | TCVN 1651:2018 | Nhận diện cốt lõi: Thanh T1c (D32) Trụ T2 dài hơn Trụ T1 2.100m</t>
  </si>
  <si>
    <t>Số hiệu thanh</t>
  </si>
  <si>
    <t>Đường kính Phi (mm)</t>
  </si>
  <si>
    <t>Hình dạng thanh CAD</t>
  </si>
  <si>
    <t>Chiều dài 1 thanh T1 (mm)</t>
  </si>
  <si>
    <t>Chiều dài 1 thanh T2 (mm)</t>
  </si>
  <si>
    <t>Chênh lệch L (mm)</t>
  </si>
  <si>
    <t>Số lượng thanh T1</t>
  </si>
  <si>
    <t>Số lượng thanh T2</t>
  </si>
  <si>
    <t>Trọng lượng đơn vị (kg/m)</t>
  </si>
  <si>
    <t>Tổng trọng lượng T1 (kg)</t>
  </si>
  <si>
    <t>Tổng trọng lượng T2 (kg)</t>
  </si>
  <si>
    <t>Chênh lệch (kg)</t>
  </si>
  <si>
    <t>So sánh hình học &amp; vị trí</t>
  </si>
  <si>
    <t>T1a</t>
  </si>
  <si>
    <t>Móc neo đỉnh dầm mũ</t>
  </si>
  <si>
    <t>Giống nhau: Thép chủ neo xà mũ</t>
  </si>
  <si>
    <t>T2a</t>
  </si>
  <si>
    <t>Đai tròn D1200 thân trụ</t>
  </si>
  <si>
    <t>Giống nhau: Đai tròn đoạn giữa thân</t>
  </si>
  <si>
    <t>T3a</t>
  </si>
  <si>
    <t>Thanh giằng liên kết tim cột</t>
  </si>
  <si>
    <t>Giống nhau: Giằng ngang chống phình</t>
  </si>
  <si>
    <t>T4a</t>
  </si>
  <si>
    <t>Đai chữ C gia cường mũ</t>
  </si>
  <si>
    <t>Giống nhau: Đai chống nứt xà mũ</t>
  </si>
  <si>
    <t>T1b</t>
  </si>
  <si>
    <t>Thép chủ thân đoạn giữa</t>
  </si>
  <si>
    <t>Giống nhau: Cột tròn D1200</t>
  </si>
  <si>
    <t>T2b</t>
  </si>
  <si>
    <t>Đai tròn đoạn giữa thân</t>
  </si>
  <si>
    <t>Giống nhau: Đai tròn tăng cường</t>
  </si>
  <si>
    <t>T1c</t>
  </si>
  <si>
    <t>Thép chủ đoạn ngàm chân cột bệ</t>
  </si>
  <si>
    <t>KHÁC NHAU: T2 dài hơn T1 2.100m do đoạn loe bệ T2 cao hơn (5.75m vs 3.65m)</t>
  </si>
  <si>
    <t>T2c</t>
  </si>
  <si>
    <t>Đai tròn đoạn loe chân cột</t>
  </si>
  <si>
    <t>Giống nhau: Đai loe chân cột</t>
  </si>
  <si>
    <t>B1</t>
  </si>
  <si>
    <t>Thép chủ lớp đáy bệ</t>
  </si>
  <si>
    <t>Giống nhau: Bệ 11x8x2m 8 cọc D1200</t>
  </si>
  <si>
    <t>B2</t>
  </si>
  <si>
    <t>Thép lưới mặt trên bệ</t>
  </si>
  <si>
    <t>Giống nhau: Lưới chống nứt mặt bệ</t>
  </si>
  <si>
    <t>B3</t>
  </si>
  <si>
    <t>Thép chịu lực phương ngang bệ</t>
  </si>
  <si>
    <t>Giống nhau: Phương ngang 8.00m</t>
  </si>
  <si>
    <t>B5</t>
  </si>
  <si>
    <t>Thép đai liên kết bệ trụ</t>
  </si>
  <si>
    <t>Giống nhau: Đai hộp bệ trụ</t>
  </si>
  <si>
    <t>XM1</t>
  </si>
  <si>
    <t>Thép chịu uốn dọc xà mũ</t>
  </si>
  <si>
    <t>Giống nhau: Xà mũ consol L=11.6m</t>
  </si>
  <si>
    <t>XM5</t>
  </si>
  <si>
    <t>Thép chịu cắt dầm consol</t>
  </si>
  <si>
    <t>Giống nhau: Chịu cắt 2 đầu consol</t>
  </si>
  <si>
    <t>CHI TIẾT ĐO BÓC 26 CỌC KHOAN NHỒI D1200 TOÀN CẦU</t>
  </si>
  <si>
    <t>Căn cứ: Bản vẽ 04.D1200-19.5.dwg và Sổ tính thiết kế BKL-1.2-19.5.xls (Sheet TONG HOP &amp; THKL)</t>
  </si>
  <si>
    <t>VỊ TRÍ KẾT CẤU</t>
  </si>
  <si>
    <t>SỐ LƯỢNG CỌC</t>
  </si>
  <si>
    <t>CHIỀU DÀI 1 CỌC (m)</t>
  </si>
  <si>
    <t>TỔNG DÀI KHOAN (m)</t>
  </si>
  <si>
    <t>CAO ĐỘ ĐẦU CỌC (m)</t>
  </si>
  <si>
    <t>CAO ĐỘ MŨI CỌC (m)</t>
  </si>
  <si>
    <t>BÊ TÔNG C30 (m3)</t>
  </si>
  <si>
    <t>CỐT THÉP CỌC (kg)</t>
  </si>
  <si>
    <t>ỐNG SIÊU ÂM D59.9 (m)</t>
  </si>
  <si>
    <t>ỐNG SIÊU ÂM D113.5 (m)</t>
  </si>
  <si>
    <t>GHI CHÚ KỸ THUẬT</t>
  </si>
  <si>
    <t>3 cọc D1200 L=20m (4 thanh treo D16)</t>
  </si>
  <si>
    <t>TRỤ T1</t>
  </si>
  <si>
    <t>8 cọc D1200 L=40m (bệ 2 thân)</t>
  </si>
  <si>
    <t>TRỤ T2</t>
  </si>
  <si>
    <t>8 cọc D1200 L=30m (bệ 2 thân)</t>
  </si>
  <si>
    <t>7 cọc D1200 L=36m (tường thân cao)</t>
  </si>
  <si>
    <t>T</t>
  </si>
  <si>
    <t>TỔNG CỘNG 26 CỌC</t>
  </si>
  <si>
    <t>Toàn bộ cọc khoan nhồi Cầu Km19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</si>
</sst>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0.000"/>
    <numFmt numFmtId="166" formatCode="#.##0000"/>
    <numFmt numFmtId="167" formatCode="#.##000"/>
    <numFmt numFmtId="168" formatCode="#,##0.0"/>
  </numFmts>
  <fonts count="30" x14ac:knownFonts="1">
    <font>
      <sz val="11"/>
      <color theme="1"/>
      <name val="Arial"/>
      <family val="2"/>
      <scheme val="minor"/>
    </font>
    <font>
      <i/>
      <sz val="11"/>
      <color rgb="FF595959"/>
      <name val="Calibri"/>
    </font>
    <font>
      <b/>
      <sz val="15"/>
      <color rgb="FF1F4E78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sz val="9"/>
      <name val="Calibri"/>
    </font>
    <font>
      <b/>
      <sz val="14"/>
      <color rgb="FF1F4E78"/>
      <name val="Calibri"/>
    </font>
    <font>
      <i/>
      <sz val="10"/>
      <color rgb="FF595959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5"/>
      <color rgb="FFFFFFFF"/>
      <name val="Calibri"/>
    </font>
    <font>
      <i/>
      <sz val="10"/>
      <color rgb="FF93C5FD"/>
      <name val="Calibri"/>
    </font>
    <font>
      <b/>
      <sz val="9"/>
      <color rgb="FF1E3A8A"/>
      <name val="Calibri"/>
    </font>
    <font>
      <b/>
      <sz val="18"/>
      <color rgb="FF0F172A"/>
      <name val="Calibri"/>
    </font>
    <font>
      <i/>
      <sz val="9"/>
      <color rgb="FF475569"/>
      <name val="Calibri"/>
    </font>
    <font>
      <b/>
      <sz val="11"/>
      <color rgb="FF1E40AF"/>
      <name val="Calibri"/>
    </font>
    <font>
      <b/>
      <sz val="9"/>
      <color rgb="FFFFFFFF"/>
      <name val="Calibri"/>
    </font>
    <font>
      <sz val="9"/>
      <color rgb="FF0F172A"/>
      <name val="Calibri"/>
    </font>
    <font>
      <b/>
      <sz val="10"/>
      <color rgb="FFFFFFFF"/>
      <name val="Segoe UI"/>
    </font>
    <font>
      <b/>
      <sz val="13"/>
      <color rgb="FF1F4E78"/>
      <name val="Segoe UI"/>
    </font>
    <font>
      <i/>
      <sz val="9.5"/>
      <name val="Segoe UI"/>
    </font>
    <font>
      <sz val="9.5"/>
      <name val="Segoe UI"/>
    </font>
    <font>
      <b/>
      <sz val="9.5"/>
      <color rgb="FF9C6500"/>
      <name val="Segoe UI"/>
    </font>
    <font>
      <b/>
      <sz val="11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9"/>
      <color rgb="FF1F497D"/>
      <name val="Calibri"/>
    </font>
    <font>
      <i/>
      <sz val="9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1E40AF"/>
        <bgColor rgb="FF1E40AF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047857"/>
        <bgColor rgb="FF047857"/>
      </patternFill>
    </fill>
    <fill>
      <patternFill patternType="solid">
        <fgColor rgb="FFECFDF5"/>
        <bgColor rgb="FFECFDF5"/>
      </patternFill>
    </fill>
    <fill>
      <patternFill patternType="solid">
        <fgColor rgb="FF1F4E78"/>
        <bgColor rgb="FF1F4E78"/>
      </patternFill>
    </fill>
    <fill>
      <patternFill patternType="solid">
        <fgColor rgb="FFFFEB9C"/>
        <bgColor rgb="FFFFEB9C"/>
      </patternFill>
    </fill>
    <fill>
      <patternFill patternType="solid">
        <fgColor rgb="FF1E2850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28461E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B4E0C6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6"/>
  </cellStyleXfs>
  <cellXfs count="12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0" fontId="9" fillId="0" borderId="0" xfId="0" applyFont="1" applyBorder="1"/>
    <xf numFmtId="0" fontId="10" fillId="0" borderId="0" xfId="0" applyFont="1" applyBorder="1"/>
    <xf numFmtId="0" fontId="11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4" fontId="8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7" fillId="8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left" vertical="center"/>
    </xf>
    <xf numFmtId="2" fontId="7" fillId="7" borderId="2" xfId="0" applyNumberFormat="1" applyFont="1" applyFill="1" applyBorder="1" applyAlignment="1">
      <alignment horizontal="right" vertical="center"/>
    </xf>
    <xf numFmtId="0" fontId="15" fillId="11" borderId="3" xfId="0" applyFont="1" applyFill="1" applyBorder="1" applyAlignment="1">
      <alignment horizontal="center" vertical="center"/>
    </xf>
    <xf numFmtId="4" fontId="16" fillId="12" borderId="3" xfId="0" applyNumberFormat="1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18" fillId="0" borderId="0" xfId="0" applyFont="1" applyBorder="1"/>
    <xf numFmtId="0" fontId="19" fillId="13" borderId="3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left" vertical="center"/>
    </xf>
    <xf numFmtId="4" fontId="20" fillId="14" borderId="3" xfId="0" applyNumberFormat="1" applyFont="1" applyFill="1" applyBorder="1" applyAlignment="1">
      <alignment horizontal="right" vertical="center"/>
    </xf>
    <xf numFmtId="0" fontId="20" fillId="15" borderId="3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left" vertical="center"/>
    </xf>
    <xf numFmtId="4" fontId="20" fillId="15" borderId="3" xfId="0" applyNumberFormat="1" applyFont="1" applyFill="1" applyBorder="1" applyAlignment="1">
      <alignment horizontal="right" vertical="center"/>
    </xf>
    <xf numFmtId="0" fontId="15" fillId="16" borderId="3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left" vertical="center"/>
    </xf>
    <xf numFmtId="4" fontId="15" fillId="16" borderId="3" xfId="0" applyNumberFormat="1" applyFont="1" applyFill="1" applyBorder="1" applyAlignment="1">
      <alignment horizontal="right" vertical="center"/>
    </xf>
    <xf numFmtId="0" fontId="19" fillId="17" borderId="3" xfId="0" applyFont="1" applyFill="1" applyBorder="1" applyAlignment="1">
      <alignment horizontal="center" vertical="center"/>
    </xf>
    <xf numFmtId="0" fontId="20" fillId="18" borderId="3" xfId="0" applyFont="1" applyFill="1" applyBorder="1" applyAlignment="1">
      <alignment horizontal="center" vertical="center"/>
    </xf>
    <xf numFmtId="0" fontId="15" fillId="18" borderId="3" xfId="0" applyFont="1" applyFill="1" applyBorder="1" applyAlignment="1">
      <alignment horizontal="left" vertical="center"/>
    </xf>
    <xf numFmtId="4" fontId="20" fillId="18" borderId="3" xfId="0" applyNumberFormat="1" applyFont="1" applyFill="1" applyBorder="1" applyAlignment="1">
      <alignment horizontal="right" vertical="center"/>
    </xf>
    <xf numFmtId="10" fontId="20" fillId="18" borderId="3" xfId="0" applyNumberFormat="1" applyFont="1" applyFill="1" applyBorder="1" applyAlignment="1">
      <alignment horizontal="right" vertical="center"/>
    </xf>
    <xf numFmtId="0" fontId="15" fillId="18" borderId="3" xfId="0" applyFont="1" applyFill="1" applyBorder="1" applyAlignment="1">
      <alignment horizontal="center" vertical="center"/>
    </xf>
    <xf numFmtId="0" fontId="20" fillId="18" borderId="3" xfId="0" applyFont="1" applyFill="1" applyBorder="1" applyAlignment="1">
      <alignment horizontal="left" vertical="center"/>
    </xf>
    <xf numFmtId="0" fontId="15" fillId="15" borderId="3" xfId="0" applyFont="1" applyFill="1" applyBorder="1" applyAlignment="1">
      <alignment horizontal="left" vertical="center"/>
    </xf>
    <xf numFmtId="10" fontId="20" fillId="15" borderId="3" xfId="0" applyNumberFormat="1" applyFont="1" applyFill="1" applyBorder="1" applyAlignment="1">
      <alignment horizontal="right" vertical="center"/>
    </xf>
    <xf numFmtId="0" fontId="15" fillId="15" borderId="3" xfId="0" applyFont="1" applyFill="1" applyBorder="1" applyAlignment="1">
      <alignment horizontal="center" vertical="center"/>
    </xf>
    <xf numFmtId="2" fontId="8" fillId="0" borderId="2" xfId="0" applyNumberFormat="1" applyFont="1" applyBorder="1" applyAlignment="1">
      <alignment horizontal="right" vertical="center"/>
    </xf>
    <xf numFmtId="2" fontId="12" fillId="6" borderId="2" xfId="0" applyNumberFormat="1" applyFont="1" applyFill="1" applyBorder="1" applyAlignment="1">
      <alignment horizontal="center" vertical="center" wrapText="1"/>
    </xf>
    <xf numFmtId="2" fontId="7" fillId="8" borderId="2" xfId="0" applyNumberFormat="1" applyFont="1" applyFill="1" applyBorder="1" applyAlignment="1">
      <alignment horizontal="right" vertical="center"/>
    </xf>
    <xf numFmtId="165" fontId="7" fillId="7" borderId="2" xfId="0" applyNumberFormat="1" applyFont="1" applyFill="1" applyBorder="1" applyAlignment="1">
      <alignment horizontal="righ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4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/>
    </xf>
    <xf numFmtId="4" fontId="4" fillId="3" borderId="5" xfId="0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right" vertical="center"/>
    </xf>
    <xf numFmtId="0" fontId="21" fillId="19" borderId="5" xfId="0" applyFont="1" applyFill="1" applyBorder="1" applyAlignment="1">
      <alignment horizontal="center" vertical="center" wrapText="1"/>
    </xf>
    <xf numFmtId="0" fontId="0" fillId="0" borderId="5" xfId="0" applyBorder="1"/>
    <xf numFmtId="4" fontId="0" fillId="0" borderId="5" xfId="0" applyNumberFormat="1" applyBorder="1" applyAlignment="1">
      <alignment horizontal="right" vertical="center"/>
    </xf>
    <xf numFmtId="0" fontId="22" fillId="0" borderId="0" xfId="0" applyFont="1" applyBorder="1"/>
    <xf numFmtId="0" fontId="23" fillId="0" borderId="0" xfId="0" applyFont="1" applyBorder="1"/>
    <xf numFmtId="0" fontId="24" fillId="0" borderId="5" xfId="0" applyFont="1" applyBorder="1"/>
    <xf numFmtId="3" fontId="24" fillId="0" borderId="5" xfId="0" applyNumberFormat="1" applyFont="1" applyBorder="1"/>
    <xf numFmtId="164" fontId="24" fillId="0" borderId="5" xfId="0" applyNumberFormat="1" applyFont="1" applyBorder="1"/>
    <xf numFmtId="4" fontId="24" fillId="0" borderId="5" xfId="0" applyNumberFormat="1" applyFont="1" applyBorder="1"/>
    <xf numFmtId="0" fontId="25" fillId="20" borderId="5" xfId="0" applyFont="1" applyFill="1" applyBorder="1"/>
    <xf numFmtId="3" fontId="25" fillId="20" borderId="5" xfId="0" applyNumberFormat="1" applyFont="1" applyFill="1" applyBorder="1"/>
    <xf numFmtId="164" fontId="25" fillId="20" borderId="5" xfId="0" applyNumberFormat="1" applyFont="1" applyFill="1" applyBorder="1"/>
    <xf numFmtId="4" fontId="25" fillId="20" borderId="5" xfId="0" applyNumberFormat="1" applyFont="1" applyFill="1" applyBorder="1"/>
    <xf numFmtId="0" fontId="27" fillId="21" borderId="0" xfId="0" applyFont="1" applyFill="1" applyBorder="1" applyAlignment="1">
      <alignment horizontal="center"/>
    </xf>
    <xf numFmtId="0" fontId="26" fillId="22" borderId="0" xfId="0" applyFont="1" applyFill="1" applyBorder="1"/>
    <xf numFmtId="166" fontId="0" fillId="0" borderId="0" xfId="0" applyNumberFormat="1" applyBorder="1"/>
    <xf numFmtId="167" fontId="0" fillId="0" borderId="0" xfId="0" applyNumberFormat="1" applyBorder="1"/>
    <xf numFmtId="0" fontId="26" fillId="23" borderId="0" xfId="0" applyFont="1" applyFill="1" applyBorder="1"/>
    <xf numFmtId="167" fontId="26" fillId="23" borderId="0" xfId="0" applyNumberFormat="1" applyFont="1" applyFill="1" applyBorder="1"/>
    <xf numFmtId="0" fontId="27" fillId="24" borderId="0" xfId="0" applyFont="1" applyFill="1" applyBorder="1" applyAlignment="1">
      <alignment horizontal="center"/>
    </xf>
    <xf numFmtId="0" fontId="26" fillId="25" borderId="0" xfId="0" applyFont="1" applyFill="1" applyBorder="1"/>
    <xf numFmtId="0" fontId="26" fillId="26" borderId="0" xfId="0" applyFont="1" applyFill="1" applyBorder="1"/>
    <xf numFmtId="167" fontId="26" fillId="26" borderId="0" xfId="0" applyNumberFormat="1" applyFont="1" applyFill="1" applyBorder="1"/>
    <xf numFmtId="0" fontId="28" fillId="27" borderId="7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/>
    </xf>
    <xf numFmtId="0" fontId="28" fillId="27" borderId="7" xfId="0" applyFont="1" applyFill="1" applyBorder="1" applyAlignment="1">
      <alignment horizontal="right" vertical="center"/>
    </xf>
    <xf numFmtId="164" fontId="28" fillId="27" borderId="7" xfId="0" applyNumberFormat="1" applyFont="1" applyFill="1" applyBorder="1" applyAlignment="1">
      <alignment horizontal="right" vertical="center"/>
    </xf>
    <xf numFmtId="0" fontId="7" fillId="0" borderId="6" xfId="0" applyFont="1" applyAlignment="1">
      <alignment horizontal="right" vertical="center"/>
    </xf>
    <xf numFmtId="0" fontId="7" fillId="28" borderId="7" xfId="0" applyFont="1" applyFill="1" applyBorder="1" applyAlignment="1">
      <alignment horizontal="center" vertical="center"/>
    </xf>
    <xf numFmtId="0" fontId="7" fillId="28" borderId="7" xfId="0" applyFont="1" applyFill="1" applyBorder="1" applyAlignment="1">
      <alignment horizontal="left" vertical="center"/>
    </xf>
    <xf numFmtId="0" fontId="7" fillId="28" borderId="7" xfId="0" applyFont="1" applyFill="1" applyBorder="1" applyAlignment="1">
      <alignment horizontal="right" vertical="center"/>
    </xf>
    <xf numFmtId="164" fontId="7" fillId="28" borderId="7" xfId="0" applyNumberFormat="1" applyFont="1" applyFill="1" applyBorder="1" applyAlignment="1">
      <alignment horizontal="right" vertical="center"/>
    </xf>
    <xf numFmtId="0" fontId="8" fillId="0" borderId="6" xfId="0" applyFont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3" fontId="8" fillId="0" borderId="7" xfId="0" applyNumberFormat="1" applyFont="1" applyBorder="1" applyAlignment="1">
      <alignment horizontal="right" vertical="center"/>
    </xf>
    <xf numFmtId="164" fontId="8" fillId="0" borderId="7" xfId="0" applyNumberFormat="1" applyFont="1" applyBorder="1" applyAlignment="1">
      <alignment horizontal="right" vertical="center"/>
    </xf>
    <xf numFmtId="4" fontId="8" fillId="0" borderId="7" xfId="0" applyNumberFormat="1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29" fillId="0" borderId="7" xfId="0" applyFont="1" applyBorder="1" applyAlignment="1">
      <alignment horizontal="center" vertical="center"/>
    </xf>
    <xf numFmtId="0" fontId="29" fillId="0" borderId="7" xfId="0" applyFont="1" applyBorder="1" applyAlignment="1">
      <alignment horizontal="left" vertical="center"/>
    </xf>
    <xf numFmtId="0" fontId="29" fillId="0" borderId="7" xfId="0" applyFont="1" applyBorder="1" applyAlignment="1">
      <alignment horizontal="right" vertical="center"/>
    </xf>
    <xf numFmtId="164" fontId="29" fillId="0" borderId="7" xfId="0" applyNumberFormat="1" applyFont="1" applyBorder="1" applyAlignment="1">
      <alignment horizontal="right" vertical="center"/>
    </xf>
    <xf numFmtId="0" fontId="0" fillId="0" borderId="6" xfId="0"/>
    <xf numFmtId="0" fontId="7" fillId="29" borderId="7" xfId="0" applyFont="1" applyFill="1" applyBorder="1" applyAlignment="1">
      <alignment horizontal="center" vertical="center"/>
    </xf>
    <xf numFmtId="0" fontId="7" fillId="29" borderId="7" xfId="0" applyFont="1" applyFill="1" applyBorder="1" applyAlignment="1">
      <alignment horizontal="left" vertical="center"/>
    </xf>
    <xf numFmtId="0" fontId="7" fillId="29" borderId="7" xfId="0" applyFont="1" applyFill="1" applyBorder="1" applyAlignment="1">
      <alignment horizontal="right" vertical="center"/>
    </xf>
    <xf numFmtId="164" fontId="7" fillId="29" borderId="7" xfId="0" applyNumberFormat="1" applyFont="1" applyFill="1" applyBorder="1" applyAlignment="1">
      <alignment horizontal="right" vertical="center"/>
    </xf>
    <xf numFmtId="4" fontId="16" fillId="12" borderId="3" xfId="0" applyNumberFormat="1" applyFont="1" applyFill="1" applyBorder="1" applyAlignment="1">
      <alignment horizontal="center" vertical="center"/>
    </xf>
    <xf numFmtId="0" fontId="0" fillId="0" borderId="4" xfId="0" applyBorder="1"/>
    <xf numFmtId="0" fontId="17" fillId="12" borderId="3" xfId="0" applyFont="1" applyFill="1" applyBorder="1" applyAlignment="1">
      <alignment horizontal="center" vertical="center"/>
    </xf>
    <xf numFmtId="168" fontId="16" fillId="12" borderId="3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3" fillId="9" borderId="6" xfId="0" applyFont="1" applyFill="1" applyAlignment="1">
      <alignment horizontal="left" vertical="center" indent="1"/>
    </xf>
    <xf numFmtId="0" fontId="0" fillId="0" borderId="0" xfId="0" applyBorder="1"/>
    <xf numFmtId="0" fontId="14" fillId="10" borderId="6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255588</xdr:colOff>
      <xdr:row>1</xdr:row>
      <xdr:rowOff>153988</xdr:rowOff>
    </xdr:from>
    <xdr:ext cx="9144000" cy="609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17369" y="388144"/>
          <a:ext cx="9144000" cy="6096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34</xdr:row>
      <xdr:rowOff>0</xdr:rowOff>
    </xdr:from>
    <xdr:ext cx="9144000" cy="5429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0</xdr:colOff>
      <xdr:row>64</xdr:row>
      <xdr:rowOff>0</xdr:rowOff>
    </xdr:from>
    <xdr:ext cx="9144000" cy="5524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9334500" cy="6219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</xdr:colOff>
      <xdr:row>3</xdr:row>
      <xdr:rowOff>0</xdr:rowOff>
    </xdr:from>
    <xdr:to>
      <xdr:col>22</xdr:col>
      <xdr:colOff>63500</xdr:colOff>
      <xdr:row>40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19050" y="533400"/>
          <a:ext cx="9906000" cy="6604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</xdr:colOff>
      <xdr:row>3</xdr:row>
      <xdr:rowOff>0</xdr:rowOff>
    </xdr:from>
    <xdr:to>
      <xdr:col>22</xdr:col>
      <xdr:colOff>63500</xdr:colOff>
      <xdr:row>40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19050" y="533400"/>
          <a:ext cx="9906000" cy="6604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165100</xdr:colOff>
      <xdr:row>0</xdr:row>
      <xdr:rowOff>0</xdr:rowOff>
    </xdr:from>
    <xdr:ext cx="10001250" cy="666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47700" y="0"/>
          <a:ext cx="10001250" cy="6667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>
      <selection activeCell="D24" sqref="D24"/>
    </sheetView>
  </sheetViews>
  <sheetFormatPr defaultRowHeight="14" x14ac:dyDescent="0.3"/>
  <cols>
    <col min="1" max="1" width="8" customWidth="1"/>
    <col min="2" max="2" width="36" customWidth="1"/>
    <col min="3" max="3" width="10" customWidth="1"/>
    <col min="4" max="7" width="18" customWidth="1"/>
    <col min="8" max="8" width="20" customWidth="1"/>
    <col min="9" max="9" width="46" customWidth="1"/>
  </cols>
  <sheetData>
    <row r="1" spans="1:9" x14ac:dyDescent="0.3">
      <c r="A1" s="123" t="s">
        <v>423</v>
      </c>
      <c r="B1" s="124"/>
      <c r="C1" s="124"/>
      <c r="D1" s="124"/>
      <c r="E1" s="124"/>
      <c r="F1" s="124"/>
      <c r="G1" s="124"/>
      <c r="H1" s="124"/>
      <c r="I1" s="124"/>
    </row>
    <row r="2" spans="1:9" x14ac:dyDescent="0.3">
      <c r="A2" s="124"/>
      <c r="B2" s="124"/>
      <c r="C2" s="124"/>
      <c r="D2" s="124"/>
      <c r="E2" s="124"/>
      <c r="F2" s="124"/>
      <c r="G2" s="124"/>
      <c r="H2" s="124"/>
      <c r="I2" s="124"/>
    </row>
    <row r="3" spans="1:9" x14ac:dyDescent="0.3">
      <c r="A3" s="125" t="s">
        <v>424</v>
      </c>
      <c r="B3" s="124"/>
      <c r="C3" s="124"/>
      <c r="D3" s="124"/>
      <c r="E3" s="124"/>
      <c r="F3" s="124"/>
      <c r="G3" s="124"/>
      <c r="H3" s="124"/>
      <c r="I3" s="124"/>
    </row>
    <row r="5" spans="1:9" x14ac:dyDescent="0.3">
      <c r="A5" s="122" t="s">
        <v>425</v>
      </c>
      <c r="B5" s="119"/>
      <c r="C5" s="122" t="s">
        <v>426</v>
      </c>
      <c r="D5" s="119"/>
      <c r="E5" s="122" t="s">
        <v>427</v>
      </c>
      <c r="F5" s="119"/>
      <c r="G5" s="32" t="s">
        <v>428</v>
      </c>
      <c r="H5" s="122" t="s">
        <v>429</v>
      </c>
      <c r="I5" s="119"/>
    </row>
    <row r="6" spans="1:9" ht="23.5" customHeight="1" x14ac:dyDescent="0.3">
      <c r="A6" s="118">
        <f>'00_TONG_HOP_HA_BO'!I6</f>
        <v>2382.0322866629372</v>
      </c>
      <c r="B6" s="119"/>
      <c r="C6" s="118">
        <f>'00_TONG_HOP_HA_BO'!I7</f>
        <v>27.092069276239954</v>
      </c>
      <c r="D6" s="119"/>
      <c r="E6" s="118">
        <f>'00_TONG_HOP_HA_BO'!I14</f>
        <v>242.91898412</v>
      </c>
      <c r="F6" s="119"/>
      <c r="G6" s="33">
        <f>'00_TONG_HOP_HA_BO'!I8</f>
        <v>1564.859768</v>
      </c>
      <c r="H6" s="121">
        <f>_xlfn.LET(_xlpm.thep, '00_TONG_HOP_HA_BO'!I13, _xlpm.bt, '00_TONG_HOP_HA_BO'!I6, _xlpm.thep / _xlpm.bt)</f>
        <v>101.9797193682512</v>
      </c>
      <c r="I6" s="119"/>
    </row>
    <row r="7" spans="1:9" x14ac:dyDescent="0.3">
      <c r="A7" s="120" t="s">
        <v>430</v>
      </c>
      <c r="B7" s="119"/>
      <c r="C7" s="120" t="s">
        <v>430</v>
      </c>
      <c r="D7" s="119"/>
      <c r="E7" s="120" t="s">
        <v>431</v>
      </c>
      <c r="F7" s="119"/>
      <c r="G7" s="34" t="s">
        <v>432</v>
      </c>
      <c r="H7" s="120" t="s">
        <v>433</v>
      </c>
      <c r="I7" s="119"/>
    </row>
    <row r="9" spans="1:9" ht="14.5" customHeight="1" x14ac:dyDescent="0.35">
      <c r="A9" s="35" t="s">
        <v>434</v>
      </c>
    </row>
    <row r="10" spans="1:9" x14ac:dyDescent="0.3">
      <c r="A10" s="36" t="s">
        <v>2</v>
      </c>
      <c r="B10" s="36" t="s">
        <v>435</v>
      </c>
      <c r="C10" s="36" t="s">
        <v>4</v>
      </c>
      <c r="D10" s="36" t="s">
        <v>436</v>
      </c>
      <c r="E10" s="36" t="s">
        <v>437</v>
      </c>
      <c r="F10" s="36" t="s">
        <v>438</v>
      </c>
      <c r="G10" s="36" t="s">
        <v>439</v>
      </c>
      <c r="H10" s="36" t="s">
        <v>440</v>
      </c>
      <c r="I10" s="36" t="s">
        <v>441</v>
      </c>
    </row>
    <row r="11" spans="1:9" x14ac:dyDescent="0.3">
      <c r="A11" s="37" t="s">
        <v>21</v>
      </c>
      <c r="B11" s="38" t="s">
        <v>442</v>
      </c>
      <c r="C11" s="37" t="s">
        <v>17</v>
      </c>
      <c r="D11" s="39">
        <f>'00_TONG_HOP_HA_BO'!D6</f>
        <v>75.115293990118474</v>
      </c>
      <c r="E11" s="39">
        <f>'00_TONG_HOP_HA_BO'!E6</f>
        <v>301.32795287694307</v>
      </c>
      <c r="F11" s="39">
        <f>'00_TONG_HOP_HA_BO'!F6</f>
        <v>483.59018965621215</v>
      </c>
      <c r="G11" s="39">
        <f>'00_TONG_HOP_HA_BO'!G6</f>
        <v>515.4588501396637</v>
      </c>
      <c r="H11" s="39">
        <f>'00_TONG_HOP_HA_BO'!H6</f>
        <v>1006.54</v>
      </c>
      <c r="I11" s="39">
        <f>'00_TONG_HOP_HA_BO'!I6</f>
        <v>2382.0322866629372</v>
      </c>
    </row>
    <row r="12" spans="1:9" x14ac:dyDescent="0.3">
      <c r="A12" s="40" t="s">
        <v>26</v>
      </c>
      <c r="B12" s="41" t="s">
        <v>443</v>
      </c>
      <c r="C12" s="40" t="s">
        <v>17</v>
      </c>
      <c r="D12" s="42">
        <f>'00_TONG_HOP_HA_BO'!D7</f>
        <v>2.4580079934123029</v>
      </c>
      <c r="E12" s="42">
        <f>'00_TONG_HOP_HA_BO'!E7</f>
        <v>7.0916186512953718</v>
      </c>
      <c r="F12" s="42">
        <f>'00_TONG_HOP_HA_BO'!F7</f>
        <v>8.7712213157661392</v>
      </c>
      <c r="G12" s="42">
        <f>'00_TONG_HOP_HA_BO'!G7</f>
        <v>8.7712213157661392</v>
      </c>
      <c r="H12" s="42">
        <f>'00_TONG_HOP_HA_BO'!H7</f>
        <v>0</v>
      </c>
      <c r="I12" s="42">
        <f>'00_TONG_HOP_HA_BO'!I7</f>
        <v>27.092069276239954</v>
      </c>
    </row>
    <row r="13" spans="1:9" x14ac:dyDescent="0.3">
      <c r="A13" s="37" t="s">
        <v>31</v>
      </c>
      <c r="B13" s="38" t="s">
        <v>444</v>
      </c>
      <c r="C13" s="37" t="s">
        <v>70</v>
      </c>
      <c r="D13" s="39">
        <f>'00_TONG_HOP_HA_BO'!D8</f>
        <v>129.75614000000002</v>
      </c>
      <c r="E13" s="39">
        <f>'00_TONG_HOP_HA_BO'!E8</f>
        <v>371.59682000000004</v>
      </c>
      <c r="F13" s="39">
        <f>'00_TONG_HOP_HA_BO'!F8</f>
        <v>515.49698899999999</v>
      </c>
      <c r="G13" s="39">
        <f>'00_TONG_HOP_HA_BO'!G8</f>
        <v>548.00981899999999</v>
      </c>
      <c r="H13" s="39">
        <f>'00_TONG_HOP_HA_BO'!H8</f>
        <v>0</v>
      </c>
      <c r="I13" s="39">
        <f>'00_TONG_HOP_HA_BO'!I8</f>
        <v>1564.859768</v>
      </c>
    </row>
    <row r="14" spans="1:9" x14ac:dyDescent="0.3">
      <c r="A14" s="40" t="s">
        <v>36</v>
      </c>
      <c r="B14" s="41" t="s">
        <v>445</v>
      </c>
      <c r="C14" s="40" t="s">
        <v>70</v>
      </c>
      <c r="D14" s="42">
        <f>'00_TONG_HOP_HA_BO'!D9</f>
        <v>30.12</v>
      </c>
      <c r="E14" s="42">
        <f>'00_TONG_HOP_HA_BO'!E9</f>
        <v>46.84</v>
      </c>
      <c r="F14" s="42">
        <f>'00_TONG_HOP_HA_BO'!F9</f>
        <v>0</v>
      </c>
      <c r="G14" s="42">
        <f>'00_TONG_HOP_HA_BO'!G9</f>
        <v>0</v>
      </c>
      <c r="H14" s="42">
        <f>'00_TONG_HOP_HA_BO'!H9</f>
        <v>0</v>
      </c>
      <c r="I14" s="42">
        <f>'00_TONG_HOP_HA_BO'!I9</f>
        <v>76.960000000000008</v>
      </c>
    </row>
    <row r="15" spans="1:9" x14ac:dyDescent="0.3">
      <c r="A15" s="37" t="s">
        <v>245</v>
      </c>
      <c r="B15" s="38" t="s">
        <v>446</v>
      </c>
      <c r="C15" s="37" t="s">
        <v>447</v>
      </c>
      <c r="D15" s="39">
        <f>'00_TONG_HOP_HA_BO'!D10</f>
        <v>44.33</v>
      </c>
      <c r="E15" s="39">
        <f>'00_TONG_HOP_HA_BO'!E10</f>
        <v>44.33</v>
      </c>
      <c r="F15" s="39">
        <f>'00_TONG_HOP_HA_BO'!F10</f>
        <v>0</v>
      </c>
      <c r="G15" s="39">
        <f>'00_TONG_HOP_HA_BO'!G10</f>
        <v>0</v>
      </c>
      <c r="H15" s="39">
        <f>'00_TONG_HOP_HA_BO'!H10</f>
        <v>0</v>
      </c>
      <c r="I15" s="39">
        <f>'00_TONG_HOP_HA_BO'!I10</f>
        <v>88.66</v>
      </c>
    </row>
    <row r="16" spans="1:9" x14ac:dyDescent="0.3">
      <c r="A16" s="40" t="s">
        <v>250</v>
      </c>
      <c r="B16" s="41" t="s">
        <v>448</v>
      </c>
      <c r="C16" s="40" t="s">
        <v>447</v>
      </c>
      <c r="D16" s="42">
        <f>'00_TONG_HOP_HA_BO'!D11</f>
        <v>5828.41</v>
      </c>
      <c r="E16" s="42">
        <f>'00_TONG_HOP_HA_BO'!E11</f>
        <v>11918.02</v>
      </c>
      <c r="F16" s="42">
        <f>'00_TONG_HOP_HA_BO'!F11</f>
        <v>6256.7976479999998</v>
      </c>
      <c r="G16" s="42">
        <f>'00_TONG_HOP_HA_BO'!G11</f>
        <v>7269.767648</v>
      </c>
      <c r="H16" s="42">
        <f>'00_TONG_HOP_HA_BO'!H11</f>
        <v>0</v>
      </c>
      <c r="I16" s="42">
        <f>'00_TONG_HOP_HA_BO'!I11</f>
        <v>31272.995296000001</v>
      </c>
    </row>
    <row r="17" spans="1:9" x14ac:dyDescent="0.3">
      <c r="A17" s="37" t="s">
        <v>449</v>
      </c>
      <c r="B17" s="38" t="s">
        <v>450</v>
      </c>
      <c r="C17" s="37" t="s">
        <v>447</v>
      </c>
      <c r="D17" s="39">
        <f>'00_TONG_HOP_HA_BO'!D12</f>
        <v>2085.8200000000002</v>
      </c>
      <c r="E17" s="39">
        <f>'00_TONG_HOP_HA_BO'!E12</f>
        <v>7686.38</v>
      </c>
      <c r="F17" s="39">
        <f>'00_TONG_HOP_HA_BO'!F12</f>
        <v>76701.474212000001</v>
      </c>
      <c r="G17" s="39">
        <f>'00_TONG_HOP_HA_BO'!G12</f>
        <v>77974.174612000003</v>
      </c>
      <c r="H17" s="39">
        <f>'00_TONG_HOP_HA_BO'!H12</f>
        <v>47109.48</v>
      </c>
      <c r="I17" s="39">
        <f>'00_TONG_HOP_HA_BO'!I12</f>
        <v>211557.328824</v>
      </c>
    </row>
    <row r="18" spans="1:9" x14ac:dyDescent="0.3">
      <c r="A18" s="43" t="s">
        <v>451</v>
      </c>
      <c r="B18" s="44" t="s">
        <v>452</v>
      </c>
      <c r="C18" s="43" t="s">
        <v>447</v>
      </c>
      <c r="D18" s="45">
        <f>'00_TONG_HOP_HA_BO'!D13</f>
        <v>7958.5599999999995</v>
      </c>
      <c r="E18" s="45">
        <f>'00_TONG_HOP_HA_BO'!E13</f>
        <v>19648.73</v>
      </c>
      <c r="F18" s="45">
        <f>'00_TONG_HOP_HA_BO'!F13</f>
        <v>82958.271860000008</v>
      </c>
      <c r="G18" s="45">
        <f>'00_TONG_HOP_HA_BO'!G13</f>
        <v>85243.942259999996</v>
      </c>
      <c r="H18" s="45">
        <f>'00_TONG_HOP_HA_BO'!H13</f>
        <v>47109.48</v>
      </c>
      <c r="I18" s="45">
        <f>'00_TONG_HOP_HA_BO'!I13</f>
        <v>242918.98412000001</v>
      </c>
    </row>
    <row r="19" spans="1:9" x14ac:dyDescent="0.3">
      <c r="A19" s="43" t="s">
        <v>453</v>
      </c>
      <c r="B19" s="44" t="s">
        <v>454</v>
      </c>
      <c r="C19" s="43" t="s">
        <v>455</v>
      </c>
      <c r="D19" s="45">
        <f>'00_TONG_HOP_HA_BO'!D14</f>
        <v>7.9585599999999994</v>
      </c>
      <c r="E19" s="45">
        <f>'00_TONG_HOP_HA_BO'!E14</f>
        <v>19.64873</v>
      </c>
      <c r="F19" s="45">
        <f>'00_TONG_HOP_HA_BO'!F14</f>
        <v>82.958271860000011</v>
      </c>
      <c r="G19" s="45">
        <f>'00_TONG_HOP_HA_BO'!G14</f>
        <v>85.243942259999997</v>
      </c>
      <c r="H19" s="45">
        <f>'00_TONG_HOP_HA_BO'!H14</f>
        <v>47.109480000000005</v>
      </c>
      <c r="I19" s="45">
        <f>'00_TONG_HOP_HA_BO'!I14</f>
        <v>242.91898412</v>
      </c>
    </row>
    <row r="20" spans="1:9" x14ac:dyDescent="0.3">
      <c r="A20" s="40" t="s">
        <v>456</v>
      </c>
      <c r="B20" s="41" t="s">
        <v>457</v>
      </c>
      <c r="C20" s="40" t="s">
        <v>70</v>
      </c>
      <c r="D20" s="42">
        <f>'00_TONG_HOP_HA_BO'!D15</f>
        <v>63.094119999999997</v>
      </c>
      <c r="E20" s="42">
        <f>'00_TONG_HOP_HA_BO'!E15</f>
        <v>255.18</v>
      </c>
      <c r="F20" s="42">
        <f>'00_TONG_HOP_HA_BO'!F15</f>
        <v>156.02444700000001</v>
      </c>
      <c r="G20" s="42">
        <f>'00_TONG_HOP_HA_BO'!G15</f>
        <v>156.02444700000001</v>
      </c>
      <c r="H20" s="42">
        <f>'00_TONG_HOP_HA_BO'!H15</f>
        <v>0</v>
      </c>
      <c r="I20" s="42">
        <f>'00_TONG_HOP_HA_BO'!I15</f>
        <v>630.32301400000006</v>
      </c>
    </row>
    <row r="22" spans="1:9" ht="14.5" customHeight="1" x14ac:dyDescent="0.35">
      <c r="A22" s="35" t="s">
        <v>458</v>
      </c>
    </row>
    <row r="23" spans="1:9" x14ac:dyDescent="0.3">
      <c r="A23" s="46" t="s">
        <v>2</v>
      </c>
      <c r="B23" s="46" t="s">
        <v>459</v>
      </c>
      <c r="C23" s="46" t="s">
        <v>4</v>
      </c>
      <c r="D23" s="46" t="s">
        <v>460</v>
      </c>
      <c r="E23" s="46" t="s">
        <v>461</v>
      </c>
      <c r="F23" s="46" t="s">
        <v>462</v>
      </c>
      <c r="G23" s="46" t="s">
        <v>463</v>
      </c>
      <c r="H23" s="46" t="s">
        <v>464</v>
      </c>
      <c r="I23" s="46" t="s">
        <v>465</v>
      </c>
    </row>
    <row r="24" spans="1:9" x14ac:dyDescent="0.3">
      <c r="A24" s="47" t="s">
        <v>21</v>
      </c>
      <c r="B24" s="48" t="s">
        <v>466</v>
      </c>
      <c r="C24" s="47" t="s">
        <v>17</v>
      </c>
      <c r="D24" s="49">
        <f>'00_TONG_HOP_HA_BO'!D6</f>
        <v>75.115293990118474</v>
      </c>
      <c r="E24" s="49">
        <v>75.117000000000004</v>
      </c>
      <c r="F24" s="49">
        <f t="shared" ref="F24:F33" si="0">D24-E24</f>
        <v>-1.7060098815306901E-3</v>
      </c>
      <c r="G24" s="50">
        <f t="shared" ref="G24:G33" si="1">IF(E24=0, 0, (D24-E24)/E24)</f>
        <v>-2.2711368685260195E-5</v>
      </c>
      <c r="H24" s="51" t="str">
        <f t="shared" ref="H24:H33" si="2">IF(ABS(F24)&lt;0.05, "✓ TRÙNG KHỚP 100%", "⚠ CẢNH BÁO KIỂM TOÁN")</f>
        <v>✓ TRÙNG KHỚP 100%</v>
      </c>
      <c r="I24" s="52" t="s">
        <v>467</v>
      </c>
    </row>
    <row r="25" spans="1:9" x14ac:dyDescent="0.3">
      <c r="A25" s="40" t="s">
        <v>26</v>
      </c>
      <c r="B25" s="53" t="s">
        <v>468</v>
      </c>
      <c r="C25" s="40" t="s">
        <v>17</v>
      </c>
      <c r="D25" s="42">
        <f>'00_TONG_HOP_HA_BO'!E6</f>
        <v>301.32795287694307</v>
      </c>
      <c r="E25" s="42">
        <v>301.24</v>
      </c>
      <c r="F25" s="42">
        <f t="shared" si="0"/>
        <v>8.7952876943063529E-2</v>
      </c>
      <c r="G25" s="54">
        <f t="shared" si="1"/>
        <v>2.9196944941927875E-4</v>
      </c>
      <c r="H25" s="55" t="str">
        <f t="shared" si="2"/>
        <v>⚠ CẢNH BÁO KIỂM TOÁN</v>
      </c>
      <c r="I25" s="41" t="s">
        <v>469</v>
      </c>
    </row>
    <row r="26" spans="1:9" x14ac:dyDescent="0.3">
      <c r="A26" s="47" t="s">
        <v>31</v>
      </c>
      <c r="B26" s="48" t="s">
        <v>470</v>
      </c>
      <c r="C26" s="47" t="s">
        <v>17</v>
      </c>
      <c r="D26" s="49">
        <f>'00_TONG_HOP_HA_BO'!F6</f>
        <v>483.59018965621215</v>
      </c>
      <c r="E26" s="49">
        <v>491.68</v>
      </c>
      <c r="F26" s="49">
        <f t="shared" si="0"/>
        <v>-8.0898103437878603</v>
      </c>
      <c r="G26" s="50">
        <f t="shared" si="1"/>
        <v>-1.645340535264371E-2</v>
      </c>
      <c r="H26" s="51" t="str">
        <f t="shared" si="2"/>
        <v>⚠ CẢNH BÁO KIỂM TOÁN</v>
      </c>
      <c r="I26" s="52" t="s">
        <v>471</v>
      </c>
    </row>
    <row r="27" spans="1:9" x14ac:dyDescent="0.3">
      <c r="A27" s="40" t="s">
        <v>36</v>
      </c>
      <c r="B27" s="53" t="s">
        <v>472</v>
      </c>
      <c r="C27" s="40" t="s">
        <v>17</v>
      </c>
      <c r="D27" s="42">
        <f>'00_TONG_HOP_HA_BO'!G6</f>
        <v>515.4588501396637</v>
      </c>
      <c r="E27" s="42">
        <v>523.54999999999995</v>
      </c>
      <c r="F27" s="42">
        <f t="shared" si="0"/>
        <v>-8.0911498603362588</v>
      </c>
      <c r="G27" s="54">
        <f t="shared" si="1"/>
        <v>-1.5454397593995339E-2</v>
      </c>
      <c r="H27" s="55" t="str">
        <f t="shared" si="2"/>
        <v>⚠ CẢNH BÁO KIỂM TOÁN</v>
      </c>
      <c r="I27" s="41" t="s">
        <v>471</v>
      </c>
    </row>
    <row r="28" spans="1:9" x14ac:dyDescent="0.3">
      <c r="A28" s="47" t="s">
        <v>245</v>
      </c>
      <c r="B28" s="48" t="s">
        <v>473</v>
      </c>
      <c r="C28" s="47" t="s">
        <v>17</v>
      </c>
      <c r="D28" s="49">
        <f>'00_TONG_HOP_HA_BO'!H6</f>
        <v>1006.54</v>
      </c>
      <c r="E28" s="49">
        <v>1006.54</v>
      </c>
      <c r="F28" s="49">
        <f t="shared" si="0"/>
        <v>0</v>
      </c>
      <c r="G28" s="50">
        <f t="shared" si="1"/>
        <v>0</v>
      </c>
      <c r="H28" s="51" t="str">
        <f t="shared" si="2"/>
        <v>✓ TRÙNG KHỚP 100%</v>
      </c>
      <c r="I28" s="52" t="s">
        <v>474</v>
      </c>
    </row>
    <row r="29" spans="1:9" x14ac:dyDescent="0.3">
      <c r="A29" s="40" t="s">
        <v>250</v>
      </c>
      <c r="B29" s="53" t="s">
        <v>475</v>
      </c>
      <c r="C29" s="40" t="s">
        <v>17</v>
      </c>
      <c r="D29" s="42">
        <f>'00_TONG_HOP_HA_BO'!I7</f>
        <v>27.092069276239954</v>
      </c>
      <c r="E29" s="42">
        <v>27.09</v>
      </c>
      <c r="F29" s="42">
        <f t="shared" si="0"/>
        <v>2.0692762399541209E-3</v>
      </c>
      <c r="G29" s="54">
        <f t="shared" si="1"/>
        <v>7.6385243261503167E-5</v>
      </c>
      <c r="H29" s="55" t="str">
        <f t="shared" si="2"/>
        <v>✓ TRÙNG KHỚP 100%</v>
      </c>
      <c r="I29" s="41" t="s">
        <v>476</v>
      </c>
    </row>
    <row r="30" spans="1:9" x14ac:dyDescent="0.3">
      <c r="A30" s="47" t="s">
        <v>449</v>
      </c>
      <c r="B30" s="48" t="s">
        <v>477</v>
      </c>
      <c r="C30" s="47" t="s">
        <v>70</v>
      </c>
      <c r="D30" s="49">
        <f>'00_TONG_HOP_HA_BO'!D8</f>
        <v>129.75614000000002</v>
      </c>
      <c r="E30" s="49">
        <v>159.88</v>
      </c>
      <c r="F30" s="49">
        <f t="shared" si="0"/>
        <v>-30.123859999999979</v>
      </c>
      <c r="G30" s="50">
        <f t="shared" si="1"/>
        <v>-0.18841543657743295</v>
      </c>
      <c r="H30" s="51" t="str">
        <f t="shared" si="2"/>
        <v>⚠ CẢNH BÁO KIỂM TOÁN</v>
      </c>
      <c r="I30" s="52" t="s">
        <v>478</v>
      </c>
    </row>
    <row r="31" spans="1:9" x14ac:dyDescent="0.3">
      <c r="A31" s="40" t="s">
        <v>456</v>
      </c>
      <c r="B31" s="53" t="s">
        <v>479</v>
      </c>
      <c r="C31" s="40" t="s">
        <v>70</v>
      </c>
      <c r="D31" s="42">
        <f>'00_TONG_HOP_HA_BO'!E8</f>
        <v>371.59682000000004</v>
      </c>
      <c r="E31" s="42">
        <v>360.61</v>
      </c>
      <c r="F31" s="42">
        <f t="shared" si="0"/>
        <v>10.986820000000023</v>
      </c>
      <c r="G31" s="54">
        <f t="shared" si="1"/>
        <v>3.0467319264579525E-2</v>
      </c>
      <c r="H31" s="55" t="str">
        <f t="shared" si="2"/>
        <v>⚠ CẢNH BÁO KIỂM TOÁN</v>
      </c>
      <c r="I31" s="41" t="s">
        <v>480</v>
      </c>
    </row>
    <row r="32" spans="1:9" x14ac:dyDescent="0.3">
      <c r="A32" s="47" t="s">
        <v>481</v>
      </c>
      <c r="B32" s="48" t="s">
        <v>482</v>
      </c>
      <c r="C32" s="47" t="s">
        <v>447</v>
      </c>
      <c r="D32" s="49">
        <f>'00_TONG_HOP_HA_BO'!I13</f>
        <v>242918.98412000001</v>
      </c>
      <c r="E32" s="49">
        <v>263163.52000000002</v>
      </c>
      <c r="F32" s="49">
        <f t="shared" si="0"/>
        <v>-20244.53588000001</v>
      </c>
      <c r="G32" s="50">
        <f t="shared" si="1"/>
        <v>-7.6927591939794732E-2</v>
      </c>
      <c r="H32" s="51" t="str">
        <f t="shared" si="2"/>
        <v>⚠ CẢNH BÁO KIỂM TOÁN</v>
      </c>
      <c r="I32" s="52" t="s">
        <v>483</v>
      </c>
    </row>
    <row r="33" spans="1:9" x14ac:dyDescent="0.3">
      <c r="A33" s="40" t="s">
        <v>484</v>
      </c>
      <c r="B33" s="53" t="s">
        <v>457</v>
      </c>
      <c r="C33" s="40" t="s">
        <v>70</v>
      </c>
      <c r="D33" s="42">
        <f>'00_TONG_HOP_HA_BO'!I15</f>
        <v>630.32301400000006</v>
      </c>
      <c r="E33" s="42">
        <v>630.32000000000005</v>
      </c>
      <c r="F33" s="42">
        <f t="shared" si="0"/>
        <v>3.0140000000073996E-3</v>
      </c>
      <c r="G33" s="54">
        <f t="shared" si="1"/>
        <v>4.7816981850606035E-6</v>
      </c>
      <c r="H33" s="55" t="str">
        <f t="shared" si="2"/>
        <v>✓ TRÙNG KHỚP 100%</v>
      </c>
      <c r="I33" s="41" t="s">
        <v>485</v>
      </c>
    </row>
  </sheetData>
  <mergeCells count="14">
    <mergeCell ref="C5:D5"/>
    <mergeCell ref="A5:B5"/>
    <mergeCell ref="E5:F5"/>
    <mergeCell ref="A1:I2"/>
    <mergeCell ref="H5:I5"/>
    <mergeCell ref="A3:I3"/>
    <mergeCell ref="E6:F6"/>
    <mergeCell ref="C6:D6"/>
    <mergeCell ref="C7:D7"/>
    <mergeCell ref="H6:I6"/>
    <mergeCell ref="A7:B7"/>
    <mergeCell ref="E7:F7"/>
    <mergeCell ref="H7:I7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8"/>
  <sheetViews>
    <sheetView tabSelected="1" topLeftCell="A57" zoomScale="115" zoomScaleNormal="115" workbookViewId="0">
      <selection activeCell="B75" sqref="B75"/>
    </sheetView>
  </sheetViews>
  <sheetFormatPr defaultRowHeight="14" x14ac:dyDescent="0.3"/>
  <cols>
    <col min="1" max="1" width="6" customWidth="1"/>
    <col min="2" max="2" width="46" customWidth="1"/>
    <col min="3" max="3" width="8" customWidth="1"/>
    <col min="4" max="4" width="10" customWidth="1"/>
    <col min="5" max="6" width="12" customWidth="1"/>
    <col min="7" max="7" width="14" customWidth="1"/>
    <col min="8" max="8" width="24" customWidth="1"/>
    <col min="9" max="9" width="18" customWidth="1"/>
    <col min="10" max="10" width="44" customWidth="1"/>
    <col min="11" max="11" width="40" customWidth="1"/>
    <col min="12" max="12" width="3" customWidth="1"/>
  </cols>
  <sheetData>
    <row r="1" spans="1:11" ht="18.5" customHeight="1" x14ac:dyDescent="0.45">
      <c r="A1" s="17" t="s">
        <v>0</v>
      </c>
    </row>
    <row r="2" spans="1:11" x14ac:dyDescent="0.3">
      <c r="A2" s="18" t="s">
        <v>1</v>
      </c>
    </row>
    <row r="4" spans="1:11" x14ac:dyDescent="0.3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</row>
    <row r="5" spans="1:11" x14ac:dyDescent="0.3">
      <c r="A5" s="20" t="s">
        <v>13</v>
      </c>
      <c r="B5" s="21" t="s">
        <v>14</v>
      </c>
      <c r="C5" s="20"/>
      <c r="D5" s="20"/>
      <c r="E5" s="20"/>
      <c r="F5" s="20"/>
      <c r="G5" s="20"/>
      <c r="H5" s="20"/>
      <c r="I5" s="20"/>
      <c r="J5" s="20"/>
      <c r="K5" s="20"/>
    </row>
    <row r="6" spans="1:11" x14ac:dyDescent="0.3">
      <c r="A6" s="22" t="s">
        <v>15</v>
      </c>
      <c r="B6" s="23" t="s">
        <v>16</v>
      </c>
      <c r="C6" s="22" t="s">
        <v>17</v>
      </c>
      <c r="D6" s="24"/>
      <c r="E6" s="24"/>
      <c r="F6" s="24"/>
      <c r="G6" s="24"/>
      <c r="H6" s="24" t="s">
        <v>18</v>
      </c>
      <c r="I6" s="31">
        <f>SUM(I7:I10)</f>
        <v>986.20876581490779</v>
      </c>
      <c r="J6" s="24" t="s">
        <v>19</v>
      </c>
      <c r="K6" s="24" t="s">
        <v>20</v>
      </c>
    </row>
    <row r="7" spans="1:11" x14ac:dyDescent="0.3">
      <c r="A7" s="25" t="s">
        <v>21</v>
      </c>
      <c r="B7" s="26" t="s">
        <v>22</v>
      </c>
      <c r="C7" s="25" t="s">
        <v>17</v>
      </c>
      <c r="D7" s="27">
        <v>3</v>
      </c>
      <c r="E7" s="27">
        <v>20</v>
      </c>
      <c r="F7" s="27">
        <v>1.2</v>
      </c>
      <c r="G7" s="28"/>
      <c r="H7" s="28" t="s">
        <v>23</v>
      </c>
      <c r="I7" s="56">
        <f>_xlfn.LET(_xlpm.n, D7, _xlpm.L, E7, _xlpm.D, F7, _xlpm.n * PI() * (_xlpm.D/2)^2 * _xlpm.L)</f>
        <v>67.858401317539531</v>
      </c>
      <c r="J7" s="26" t="s">
        <v>24</v>
      </c>
      <c r="K7" s="26" t="s">
        <v>25</v>
      </c>
    </row>
    <row r="8" spans="1:11" x14ac:dyDescent="0.3">
      <c r="A8" s="25" t="s">
        <v>26</v>
      </c>
      <c r="B8" s="26" t="s">
        <v>27</v>
      </c>
      <c r="C8" s="25" t="s">
        <v>17</v>
      </c>
      <c r="D8" s="27">
        <v>8</v>
      </c>
      <c r="E8" s="27">
        <v>40</v>
      </c>
      <c r="F8" s="27">
        <v>1.2</v>
      </c>
      <c r="G8" s="28"/>
      <c r="H8" s="28" t="s">
        <v>28</v>
      </c>
      <c r="I8" s="56">
        <f>_xlfn.LET(_xlpm.n, D8, _xlpm.L, E8, _xlpm.D, F8, _xlpm.n * PI() * (_xlpm.D/2)^2 * _xlpm.L)</f>
        <v>361.91147369354417</v>
      </c>
      <c r="J8" s="26" t="s">
        <v>29</v>
      </c>
      <c r="K8" s="26" t="s">
        <v>30</v>
      </c>
    </row>
    <row r="9" spans="1:11" x14ac:dyDescent="0.3">
      <c r="A9" s="25" t="s">
        <v>31</v>
      </c>
      <c r="B9" s="26" t="s">
        <v>32</v>
      </c>
      <c r="C9" s="25" t="s">
        <v>17</v>
      </c>
      <c r="D9" s="27">
        <v>8</v>
      </c>
      <c r="E9" s="27">
        <v>30</v>
      </c>
      <c r="F9" s="27">
        <v>1.2</v>
      </c>
      <c r="G9" s="28"/>
      <c r="H9" s="28" t="s">
        <v>33</v>
      </c>
      <c r="I9" s="56">
        <f>_xlfn.LET(_xlpm.n, D9, _xlpm.L, E9, _xlpm.D, F9, _xlpm.n * PI() * (_xlpm.D/2)^2 * _xlpm.L)</f>
        <v>271.43360527015813</v>
      </c>
      <c r="J9" s="26" t="s">
        <v>34</v>
      </c>
      <c r="K9" s="26" t="s">
        <v>35</v>
      </c>
    </row>
    <row r="10" spans="1:11" x14ac:dyDescent="0.3">
      <c r="A10" s="25" t="s">
        <v>36</v>
      </c>
      <c r="B10" s="26" t="s">
        <v>37</v>
      </c>
      <c r="C10" s="25" t="s">
        <v>17</v>
      </c>
      <c r="D10" s="27">
        <v>7</v>
      </c>
      <c r="E10" s="27">
        <v>36</v>
      </c>
      <c r="F10" s="27">
        <v>1.2</v>
      </c>
      <c r="G10" s="28"/>
      <c r="H10" s="28" t="s">
        <v>38</v>
      </c>
      <c r="I10" s="56">
        <f>_xlfn.LET(_xlpm.n, D10, _xlpm.L, E10, _xlpm.D, F10, _xlpm.n * PI() * (_xlpm.D/2)^2 * _xlpm.L)</f>
        <v>285.00528553366604</v>
      </c>
      <c r="J10" s="26" t="s">
        <v>39</v>
      </c>
      <c r="K10" s="26" t="s">
        <v>40</v>
      </c>
    </row>
    <row r="11" spans="1:11" x14ac:dyDescent="0.3">
      <c r="A11" s="22" t="s">
        <v>41</v>
      </c>
      <c r="B11" s="23" t="s">
        <v>42</v>
      </c>
      <c r="C11" s="22" t="s">
        <v>43</v>
      </c>
      <c r="D11" s="24"/>
      <c r="E11" s="24"/>
      <c r="F11" s="24"/>
      <c r="G11" s="24"/>
      <c r="H11" s="24" t="s">
        <v>44</v>
      </c>
      <c r="I11" s="31">
        <f>SUM(I12:I13)</f>
        <v>3742.2</v>
      </c>
      <c r="J11" s="24" t="s">
        <v>45</v>
      </c>
      <c r="K11" s="24" t="s">
        <v>46</v>
      </c>
    </row>
    <row r="12" spans="1:11" x14ac:dyDescent="0.3">
      <c r="A12" s="25" t="s">
        <v>21</v>
      </c>
      <c r="B12" s="26" t="s">
        <v>47</v>
      </c>
      <c r="C12" s="25" t="s">
        <v>43</v>
      </c>
      <c r="D12" s="27">
        <v>26</v>
      </c>
      <c r="E12" s="28"/>
      <c r="F12" s="28"/>
      <c r="G12" s="28"/>
      <c r="H12" s="28" t="s">
        <v>48</v>
      </c>
      <c r="I12" s="56">
        <f>3*(3*22+8*42+8*32+7*38)</f>
        <v>2772</v>
      </c>
      <c r="J12" s="26" t="s">
        <v>49</v>
      </c>
      <c r="K12" s="26" t="s">
        <v>50</v>
      </c>
    </row>
    <row r="13" spans="1:11" x14ac:dyDescent="0.3">
      <c r="A13" s="25" t="s">
        <v>26</v>
      </c>
      <c r="B13" s="26" t="s">
        <v>51</v>
      </c>
      <c r="C13" s="25" t="s">
        <v>43</v>
      </c>
      <c r="D13" s="27">
        <v>26</v>
      </c>
      <c r="E13" s="28"/>
      <c r="F13" s="28"/>
      <c r="G13" s="28"/>
      <c r="H13" s="28" t="s">
        <v>52</v>
      </c>
      <c r="I13" s="56">
        <f>1*(3*22+8*42+8*32+7*38)*1.05</f>
        <v>970.2</v>
      </c>
      <c r="J13" s="26" t="s">
        <v>53</v>
      </c>
      <c r="K13" s="26" t="s">
        <v>54</v>
      </c>
    </row>
    <row r="14" spans="1:11" x14ac:dyDescent="0.3">
      <c r="A14" s="20" t="s">
        <v>55</v>
      </c>
      <c r="B14" s="21" t="s">
        <v>56</v>
      </c>
      <c r="C14" s="20"/>
      <c r="D14" s="20"/>
      <c r="E14" s="20"/>
      <c r="F14" s="20"/>
      <c r="G14" s="20"/>
      <c r="H14" s="20"/>
      <c r="I14" s="57"/>
      <c r="J14" s="20"/>
      <c r="K14" s="20"/>
    </row>
    <row r="15" spans="1:11" x14ac:dyDescent="0.3">
      <c r="A15" s="22" t="s">
        <v>15</v>
      </c>
      <c r="B15" s="23" t="s">
        <v>57</v>
      </c>
      <c r="C15" s="22" t="s">
        <v>17</v>
      </c>
      <c r="D15" s="24"/>
      <c r="E15" s="24"/>
      <c r="F15" s="24"/>
      <c r="G15" s="24"/>
      <c r="H15" s="24" t="s">
        <v>58</v>
      </c>
      <c r="I15" s="31">
        <f>I16+I17</f>
        <v>148.99247797694306</v>
      </c>
      <c r="J15" s="24" t="s">
        <v>59</v>
      </c>
      <c r="K15" s="24" t="s">
        <v>60</v>
      </c>
    </row>
    <row r="16" spans="1:11" x14ac:dyDescent="0.3">
      <c r="A16" s="25"/>
      <c r="B16" s="26" t="s">
        <v>61</v>
      </c>
      <c r="C16" s="25" t="s">
        <v>17</v>
      </c>
      <c r="D16" s="27">
        <v>1</v>
      </c>
      <c r="E16" s="27">
        <v>12.515000000000001</v>
      </c>
      <c r="F16" s="27">
        <v>6</v>
      </c>
      <c r="G16" s="27">
        <v>2</v>
      </c>
      <c r="H16" s="28" t="s">
        <v>62</v>
      </c>
      <c r="I16" s="56">
        <f>_xlfn.LET(_xlpm.qty, D16, _xlpm.L, E16, _xlpm.W, F16, _xlpm.H, G16, _xlpm.qty * _xlpm.L * _xlpm.W * _xlpm.H)</f>
        <v>150.18</v>
      </c>
      <c r="J16" s="26" t="s">
        <v>63</v>
      </c>
      <c r="K16" s="26" t="s">
        <v>64</v>
      </c>
    </row>
    <row r="17" spans="1:11" x14ac:dyDescent="0.3">
      <c r="A17" s="25"/>
      <c r="B17" s="26" t="s">
        <v>65</v>
      </c>
      <c r="C17" s="25" t="s">
        <v>17</v>
      </c>
      <c r="D17" s="27">
        <v>-7</v>
      </c>
      <c r="E17" s="27">
        <v>0.15</v>
      </c>
      <c r="F17" s="27">
        <v>1.2</v>
      </c>
      <c r="G17" s="28"/>
      <c r="H17" s="28" t="s">
        <v>66</v>
      </c>
      <c r="I17" s="56">
        <f>_xlfn.LET(_xlpm.n, D17, _xlpm.H, E17, _xlpm.D, F17, _xlpm.n * PI() * (_xlpm.D/2)^2 * _xlpm.H)</f>
        <v>-1.1875220230569417</v>
      </c>
      <c r="J17" s="26" t="s">
        <v>67</v>
      </c>
      <c r="K17" s="26" t="s">
        <v>68</v>
      </c>
    </row>
    <row r="18" spans="1:11" x14ac:dyDescent="0.3">
      <c r="A18" s="22" t="s">
        <v>41</v>
      </c>
      <c r="B18" s="23" t="s">
        <v>69</v>
      </c>
      <c r="C18" s="22" t="s">
        <v>70</v>
      </c>
      <c r="D18" s="24">
        <v>1</v>
      </c>
      <c r="E18" s="24">
        <v>12.515000000000001</v>
      </c>
      <c r="F18" s="24">
        <v>6</v>
      </c>
      <c r="G18" s="24">
        <v>2</v>
      </c>
      <c r="H18" s="24" t="s">
        <v>71</v>
      </c>
      <c r="I18" s="31">
        <f>_xlfn.LET(_xlpm.qty, D18, _xlpm.L, E18, _xlpm.W, F18, _xlpm.H, G18, _xlpm.qty * 2 * (_xlpm.L + _xlpm.W) * _xlpm.H)</f>
        <v>74.06</v>
      </c>
      <c r="J18" s="24" t="s">
        <v>72</v>
      </c>
      <c r="K18" s="24" t="s">
        <v>73</v>
      </c>
    </row>
    <row r="19" spans="1:11" x14ac:dyDescent="0.3">
      <c r="A19" s="22" t="s">
        <v>74</v>
      </c>
      <c r="B19" s="23" t="s">
        <v>75</v>
      </c>
      <c r="C19" s="22" t="s">
        <v>17</v>
      </c>
      <c r="D19" s="24"/>
      <c r="E19" s="24"/>
      <c r="F19" s="24"/>
      <c r="G19" s="24"/>
      <c r="H19" s="24" t="s">
        <v>76</v>
      </c>
      <c r="I19" s="31">
        <f>I20+I21</f>
        <v>7.0916186512953718</v>
      </c>
      <c r="J19" s="24" t="s">
        <v>77</v>
      </c>
      <c r="K19" s="24" t="s">
        <v>78</v>
      </c>
    </row>
    <row r="20" spans="1:11" x14ac:dyDescent="0.3">
      <c r="A20" s="25"/>
      <c r="B20" s="26" t="s">
        <v>79</v>
      </c>
      <c r="C20" s="25" t="s">
        <v>17</v>
      </c>
      <c r="D20" s="27">
        <v>1</v>
      </c>
      <c r="E20" s="27">
        <v>12.715</v>
      </c>
      <c r="F20" s="27">
        <v>6.2</v>
      </c>
      <c r="G20" s="27">
        <v>0.1</v>
      </c>
      <c r="H20" s="28" t="s">
        <v>80</v>
      </c>
      <c r="I20" s="56">
        <f>_xlfn.LET(_xlpm.qty, D20, _xlpm.L, E20, _xlpm.W, F20, _xlpm.H, G20, _xlpm.qty * _xlpm.L * _xlpm.W * _xlpm.H)</f>
        <v>7.8833000000000002</v>
      </c>
      <c r="J20" s="26" t="s">
        <v>81</v>
      </c>
      <c r="K20" s="26" t="s">
        <v>82</v>
      </c>
    </row>
    <row r="21" spans="1:11" x14ac:dyDescent="0.3">
      <c r="A21" s="25"/>
      <c r="B21" s="26" t="s">
        <v>83</v>
      </c>
      <c r="C21" s="25" t="s">
        <v>17</v>
      </c>
      <c r="D21" s="27">
        <v>-7</v>
      </c>
      <c r="E21" s="27">
        <v>0.1</v>
      </c>
      <c r="F21" s="27">
        <v>1.2</v>
      </c>
      <c r="G21" s="28"/>
      <c r="H21" s="28" t="s">
        <v>84</v>
      </c>
      <c r="I21" s="56">
        <f>_xlfn.LET(_xlpm.n, D21, _xlpm.H, E21, _xlpm.D, F21, _xlpm.n * PI() * (_xlpm.D/2)^2 * _xlpm.H)</f>
        <v>-0.79168134870462792</v>
      </c>
      <c r="J21" s="26" t="s">
        <v>85</v>
      </c>
      <c r="K21" s="26" t="s">
        <v>86</v>
      </c>
    </row>
    <row r="22" spans="1:11" x14ac:dyDescent="0.3">
      <c r="A22" s="22" t="s">
        <v>87</v>
      </c>
      <c r="B22" s="23" t="s">
        <v>88</v>
      </c>
      <c r="C22" s="22" t="s">
        <v>17</v>
      </c>
      <c r="D22" s="24"/>
      <c r="E22" s="24"/>
      <c r="F22" s="24"/>
      <c r="G22" s="24"/>
      <c r="H22" s="24" t="s">
        <v>89</v>
      </c>
      <c r="I22" s="59">
        <f>I23+I24</f>
        <v>115.9960284</v>
      </c>
      <c r="J22" s="24" t="s">
        <v>90</v>
      </c>
      <c r="K22" s="24" t="s">
        <v>91</v>
      </c>
    </row>
    <row r="23" spans="1:11" x14ac:dyDescent="0.3">
      <c r="A23" s="25" t="s">
        <v>21</v>
      </c>
      <c r="B23" s="26" t="s">
        <v>92</v>
      </c>
      <c r="C23" s="25" t="s">
        <v>17</v>
      </c>
      <c r="D23" s="27">
        <v>1</v>
      </c>
      <c r="E23" s="27">
        <v>12.515000000000001</v>
      </c>
      <c r="F23" s="27">
        <v>1.5</v>
      </c>
      <c r="G23" s="27">
        <v>6.1559999999999997</v>
      </c>
      <c r="H23" s="28" t="s">
        <v>93</v>
      </c>
      <c r="I23" s="56">
        <f>_xlfn.LET(_xlpm.qty, D23, _xlpm.L, E23, _xlpm.W, F23, _xlpm.H, G23, _xlpm.qty * _xlpm.L * _xlpm.W * _xlpm.H)</f>
        <v>115.56350999999999</v>
      </c>
      <c r="J23" s="26" t="s">
        <v>94</v>
      </c>
      <c r="K23" s="26" t="s">
        <v>95</v>
      </c>
    </row>
    <row r="24" spans="1:11" x14ac:dyDescent="0.3">
      <c r="A24" s="25" t="s">
        <v>26</v>
      </c>
      <c r="B24" s="26" t="s">
        <v>96</v>
      </c>
      <c r="C24" s="25" t="s">
        <v>17</v>
      </c>
      <c r="D24" s="27">
        <v>2</v>
      </c>
      <c r="E24" s="27">
        <v>12.515000000000001</v>
      </c>
      <c r="F24" s="27">
        <v>0.3</v>
      </c>
      <c r="G24" s="27">
        <v>0.3</v>
      </c>
      <c r="H24" s="28" t="s">
        <v>97</v>
      </c>
      <c r="I24" s="56">
        <f>D24*E24*F24*G24*0.5*0.384</f>
        <v>0.43251839999999997</v>
      </c>
      <c r="J24" s="26" t="s">
        <v>98</v>
      </c>
      <c r="K24" s="26" t="s">
        <v>99</v>
      </c>
    </row>
    <row r="25" spans="1:11" x14ac:dyDescent="0.3">
      <c r="A25" s="22" t="s">
        <v>100</v>
      </c>
      <c r="B25" s="23" t="s">
        <v>101</v>
      </c>
      <c r="C25" s="22" t="s">
        <v>70</v>
      </c>
      <c r="D25" s="24">
        <v>1</v>
      </c>
      <c r="E25" s="24">
        <v>12.515000000000001</v>
      </c>
      <c r="F25" s="24">
        <v>1.5</v>
      </c>
      <c r="G25" s="24">
        <v>6.1559999999999997</v>
      </c>
      <c r="H25" s="24" t="s">
        <v>102</v>
      </c>
      <c r="I25" s="31">
        <f>_xlfn.LET(_xlpm.qty, D25, _xlpm.L, E25, _xlpm.W, F25, _xlpm.H, G25, _xlpm.qty * 2 * (_xlpm.L + _xlpm.W) * _xlpm.H)</f>
        <v>172.55268000000001</v>
      </c>
      <c r="J25" s="24" t="s">
        <v>103</v>
      </c>
      <c r="K25" s="24" t="s">
        <v>104</v>
      </c>
    </row>
    <row r="26" spans="1:11" x14ac:dyDescent="0.3">
      <c r="A26" s="22" t="s">
        <v>105</v>
      </c>
      <c r="B26" s="23" t="s">
        <v>106</v>
      </c>
      <c r="C26" s="22" t="s">
        <v>17</v>
      </c>
      <c r="D26" s="24"/>
      <c r="E26" s="24"/>
      <c r="F26" s="24"/>
      <c r="G26" s="24"/>
      <c r="H26" s="24" t="s">
        <v>107</v>
      </c>
      <c r="I26" s="31">
        <f>I27+I28</f>
        <v>14.431046499999999</v>
      </c>
      <c r="J26" s="24" t="s">
        <v>108</v>
      </c>
      <c r="K26" s="24" t="s">
        <v>109</v>
      </c>
    </row>
    <row r="27" spans="1:11" x14ac:dyDescent="0.3">
      <c r="A27" s="25" t="s">
        <v>21</v>
      </c>
      <c r="B27" s="26" t="s">
        <v>110</v>
      </c>
      <c r="C27" s="25" t="s">
        <v>17</v>
      </c>
      <c r="D27" s="27">
        <v>1</v>
      </c>
      <c r="E27" s="27">
        <v>12.515000000000001</v>
      </c>
      <c r="F27" s="27">
        <v>0.5</v>
      </c>
      <c r="G27" s="27">
        <v>2.0379999999999998</v>
      </c>
      <c r="H27" s="28" t="s">
        <v>111</v>
      </c>
      <c r="I27" s="56">
        <f>_xlfn.LET(_xlpm.qty, D27, _xlpm.L, E27, _xlpm.W, F27, _xlpm.H, G27, _xlpm.qty * _xlpm.L * _xlpm.W * _xlpm.H)</f>
        <v>12.752784999999999</v>
      </c>
      <c r="J27" s="26" t="s">
        <v>112</v>
      </c>
      <c r="K27" s="26" t="s">
        <v>113</v>
      </c>
    </row>
    <row r="28" spans="1:11" x14ac:dyDescent="0.3">
      <c r="A28" s="25" t="s">
        <v>26</v>
      </c>
      <c r="B28" s="26" t="s">
        <v>114</v>
      </c>
      <c r="C28" s="25" t="s">
        <v>17</v>
      </c>
      <c r="D28" s="27">
        <v>1</v>
      </c>
      <c r="E28" s="27">
        <v>12.515000000000001</v>
      </c>
      <c r="F28" s="27">
        <v>0.3</v>
      </c>
      <c r="G28" s="27">
        <v>0.44700000000000001</v>
      </c>
      <c r="H28" s="28" t="s">
        <v>115</v>
      </c>
      <c r="I28" s="56">
        <f>D28*E28*F28*G28</f>
        <v>1.6782615000000001</v>
      </c>
      <c r="J28" s="26" t="s">
        <v>116</v>
      </c>
      <c r="K28" s="26" t="s">
        <v>117</v>
      </c>
    </row>
    <row r="29" spans="1:11" x14ac:dyDescent="0.3">
      <c r="A29" s="22" t="s">
        <v>118</v>
      </c>
      <c r="B29" s="23" t="s">
        <v>119</v>
      </c>
      <c r="C29" s="22" t="s">
        <v>70</v>
      </c>
      <c r="D29" s="24">
        <v>1</v>
      </c>
      <c r="E29" s="24">
        <v>12.515000000000001</v>
      </c>
      <c r="F29" s="24">
        <v>0.5</v>
      </c>
      <c r="G29" s="24">
        <v>2.0379999999999998</v>
      </c>
      <c r="H29" s="24" t="s">
        <v>120</v>
      </c>
      <c r="I29" s="31">
        <f>_xlfn.LET(_xlpm.qty, D29, _xlpm.L, E29, _xlpm.W, F29, _xlpm.H, G29, _xlpm.qty * 2 * (_xlpm.L + _xlpm.W) * _xlpm.H)</f>
        <v>53.049139999999994</v>
      </c>
      <c r="J29" s="24" t="s">
        <v>121</v>
      </c>
      <c r="K29" s="24" t="s">
        <v>122</v>
      </c>
    </row>
    <row r="30" spans="1:11" x14ac:dyDescent="0.3">
      <c r="A30" s="22" t="s">
        <v>123</v>
      </c>
      <c r="B30" s="23" t="s">
        <v>124</v>
      </c>
      <c r="C30" s="22" t="s">
        <v>17</v>
      </c>
      <c r="D30" s="24"/>
      <c r="E30" s="24"/>
      <c r="F30" s="24"/>
      <c r="G30" s="24"/>
      <c r="H30" s="24" t="s">
        <v>125</v>
      </c>
      <c r="I30" s="31">
        <f>SUM(I31:I32)</f>
        <v>16.806999999999999</v>
      </c>
      <c r="J30" s="24" t="s">
        <v>126</v>
      </c>
      <c r="K30" s="24" t="s">
        <v>127</v>
      </c>
    </row>
    <row r="31" spans="1:11" x14ac:dyDescent="0.3">
      <c r="A31" s="25" t="s">
        <v>21</v>
      </c>
      <c r="B31" s="26" t="s">
        <v>128</v>
      </c>
      <c r="C31" s="25" t="s">
        <v>17</v>
      </c>
      <c r="D31" s="27">
        <v>1</v>
      </c>
      <c r="E31" s="27">
        <v>7</v>
      </c>
      <c r="F31" s="27">
        <v>0.5</v>
      </c>
      <c r="G31" s="27">
        <v>2.4009999999999998</v>
      </c>
      <c r="H31" s="28" t="s">
        <v>129</v>
      </c>
      <c r="I31" s="56">
        <f>_xlfn.LET(_xlpm.L, E31, _xlpm.W, F31, _xlpm.H, G31, _xlpm.L * _xlpm.W * _xlpm.H)</f>
        <v>8.4034999999999993</v>
      </c>
      <c r="J31" s="26" t="s">
        <v>130</v>
      </c>
      <c r="K31" s="26" t="s">
        <v>131</v>
      </c>
    </row>
    <row r="32" spans="1:11" x14ac:dyDescent="0.3">
      <c r="A32" s="25" t="s">
        <v>26</v>
      </c>
      <c r="B32" s="26" t="s">
        <v>132</v>
      </c>
      <c r="C32" s="25" t="s">
        <v>17</v>
      </c>
      <c r="D32" s="27">
        <v>1</v>
      </c>
      <c r="E32" s="27">
        <v>7</v>
      </c>
      <c r="F32" s="27">
        <v>0.5</v>
      </c>
      <c r="G32" s="27">
        <v>2.4009999999999998</v>
      </c>
      <c r="H32" s="28" t="s">
        <v>133</v>
      </c>
      <c r="I32" s="56">
        <f>_xlfn.LET(_xlpm.L, E32, _xlpm.W, F32, _xlpm.H, G32, _xlpm.L * _xlpm.W * _xlpm.H)</f>
        <v>8.4034999999999993</v>
      </c>
      <c r="J32" s="26" t="s">
        <v>134</v>
      </c>
      <c r="K32" s="26" t="s">
        <v>135</v>
      </c>
    </row>
    <row r="33" spans="1:11" x14ac:dyDescent="0.3">
      <c r="A33" s="22" t="s">
        <v>136</v>
      </c>
      <c r="B33" s="23" t="s">
        <v>137</v>
      </c>
      <c r="C33" s="22" t="s">
        <v>70</v>
      </c>
      <c r="D33" s="24">
        <v>2</v>
      </c>
      <c r="E33" s="24">
        <v>7</v>
      </c>
      <c r="F33" s="24">
        <v>0.5</v>
      </c>
      <c r="G33" s="24">
        <v>2.4009999999999998</v>
      </c>
      <c r="H33" s="24" t="s">
        <v>138</v>
      </c>
      <c r="I33" s="31">
        <v>71.935000000000002</v>
      </c>
      <c r="J33" s="24" t="s">
        <v>139</v>
      </c>
      <c r="K33" s="24" t="s">
        <v>140</v>
      </c>
    </row>
    <row r="34" spans="1:11" x14ac:dyDescent="0.3">
      <c r="A34" s="22" t="s">
        <v>141</v>
      </c>
      <c r="B34" s="23" t="s">
        <v>142</v>
      </c>
      <c r="C34" s="22" t="s">
        <v>17</v>
      </c>
      <c r="D34" s="24"/>
      <c r="E34" s="24"/>
      <c r="F34" s="24"/>
      <c r="G34" s="24"/>
      <c r="H34" s="24" t="s">
        <v>143</v>
      </c>
      <c r="I34" s="31">
        <f>SUM(I35:I37)</f>
        <v>5.1013999999999999</v>
      </c>
      <c r="J34" s="24" t="s">
        <v>144</v>
      </c>
      <c r="K34" s="24" t="s">
        <v>145</v>
      </c>
    </row>
    <row r="35" spans="1:11" x14ac:dyDescent="0.3">
      <c r="A35" s="25" t="s">
        <v>21</v>
      </c>
      <c r="B35" s="26" t="s">
        <v>146</v>
      </c>
      <c r="C35" s="25" t="s">
        <v>17</v>
      </c>
      <c r="D35" s="27">
        <v>2</v>
      </c>
      <c r="E35" s="27">
        <v>1</v>
      </c>
      <c r="F35" s="27">
        <v>0.7</v>
      </c>
      <c r="G35" s="27">
        <v>1.0960000000000001</v>
      </c>
      <c r="H35" s="28" t="s">
        <v>115</v>
      </c>
      <c r="I35" s="56">
        <f>D35*E35*F35*G35</f>
        <v>1.5344</v>
      </c>
      <c r="J35" s="26" t="s">
        <v>147</v>
      </c>
      <c r="K35" s="26" t="s">
        <v>148</v>
      </c>
    </row>
    <row r="36" spans="1:11" x14ac:dyDescent="0.3">
      <c r="A36" s="25" t="s">
        <v>26</v>
      </c>
      <c r="B36" s="26" t="s">
        <v>149</v>
      </c>
      <c r="C36" s="25" t="s">
        <v>17</v>
      </c>
      <c r="D36" s="27">
        <v>2</v>
      </c>
      <c r="E36" s="27">
        <v>0.65</v>
      </c>
      <c r="F36" s="27">
        <v>0.15</v>
      </c>
      <c r="G36" s="27">
        <v>1</v>
      </c>
      <c r="H36" s="28" t="s">
        <v>115</v>
      </c>
      <c r="I36" s="56">
        <f>D36*E36*F36*G36</f>
        <v>0.19500000000000001</v>
      </c>
      <c r="J36" s="26" t="s">
        <v>150</v>
      </c>
      <c r="K36" s="26" t="s">
        <v>151</v>
      </c>
    </row>
    <row r="37" spans="1:11" x14ac:dyDescent="0.3">
      <c r="A37" s="25" t="s">
        <v>31</v>
      </c>
      <c r="B37" s="26" t="s">
        <v>152</v>
      </c>
      <c r="C37" s="25" t="s">
        <v>17</v>
      </c>
      <c r="D37" s="27">
        <v>1</v>
      </c>
      <c r="E37" s="27">
        <v>6</v>
      </c>
      <c r="F37" s="27">
        <v>0.56200000000000006</v>
      </c>
      <c r="G37" s="27">
        <v>1</v>
      </c>
      <c r="H37" s="28" t="s">
        <v>115</v>
      </c>
      <c r="I37" s="56">
        <f>D37*E37*F37*G37</f>
        <v>3.3720000000000003</v>
      </c>
      <c r="J37" s="26" t="s">
        <v>153</v>
      </c>
      <c r="K37" s="26" t="s">
        <v>154</v>
      </c>
    </row>
    <row r="38" spans="1:11" x14ac:dyDescent="0.3">
      <c r="A38" s="22" t="s">
        <v>155</v>
      </c>
      <c r="B38" s="23" t="s">
        <v>156</v>
      </c>
      <c r="C38" s="22" t="s">
        <v>70</v>
      </c>
      <c r="D38" s="24">
        <v>1</v>
      </c>
      <c r="E38" s="24"/>
      <c r="F38" s="24"/>
      <c r="G38" s="24"/>
      <c r="H38" s="24" t="s">
        <v>157</v>
      </c>
      <c r="I38" s="31">
        <v>255.18</v>
      </c>
      <c r="J38" s="24" t="s">
        <v>158</v>
      </c>
      <c r="K38" s="24" t="s">
        <v>159</v>
      </c>
    </row>
    <row r="39" spans="1:11" x14ac:dyDescent="0.3">
      <c r="A39" s="20" t="s">
        <v>160</v>
      </c>
      <c r="B39" s="21" t="s">
        <v>161</v>
      </c>
      <c r="C39" s="20"/>
      <c r="D39" s="20"/>
      <c r="E39" s="20"/>
      <c r="F39" s="20"/>
      <c r="G39" s="20"/>
      <c r="H39" s="20"/>
      <c r="I39" s="57"/>
      <c r="J39" s="20"/>
      <c r="K39" s="20"/>
    </row>
    <row r="40" spans="1:11" x14ac:dyDescent="0.3">
      <c r="A40" s="22" t="s">
        <v>15</v>
      </c>
      <c r="B40" s="23" t="s">
        <v>162</v>
      </c>
      <c r="C40" s="22" t="s">
        <v>17</v>
      </c>
      <c r="D40" s="24"/>
      <c r="E40" s="24"/>
      <c r="F40" s="24"/>
      <c r="G40" s="24"/>
      <c r="H40" s="24" t="s">
        <v>163</v>
      </c>
      <c r="I40" s="31">
        <f>SUM(I41:I43)</f>
        <v>52.961501990118457</v>
      </c>
      <c r="J40" s="24" t="s">
        <v>164</v>
      </c>
      <c r="K40" s="24" t="s">
        <v>165</v>
      </c>
    </row>
    <row r="41" spans="1:11" x14ac:dyDescent="0.3">
      <c r="A41" s="25" t="s">
        <v>21</v>
      </c>
      <c r="B41" s="26" t="s">
        <v>166</v>
      </c>
      <c r="C41" s="25" t="s">
        <v>17</v>
      </c>
      <c r="D41" s="27">
        <v>1</v>
      </c>
      <c r="E41" s="27">
        <v>12.515000000000001</v>
      </c>
      <c r="F41" s="27">
        <v>2</v>
      </c>
      <c r="G41" s="27">
        <v>2.1240000000000001</v>
      </c>
      <c r="H41" s="28" t="s">
        <v>167</v>
      </c>
      <c r="I41" s="56">
        <f>_xlfn.LET(_xlpm.qty, D41, _xlpm.L, E41, _xlpm.W, F41, _xlpm.H, G41, _xlpm.qty * _xlpm.L * _xlpm.W * _xlpm.H)</f>
        <v>53.163720000000005</v>
      </c>
      <c r="J41" s="26" t="s">
        <v>168</v>
      </c>
      <c r="K41" s="26" t="s">
        <v>169</v>
      </c>
    </row>
    <row r="42" spans="1:11" x14ac:dyDescent="0.3">
      <c r="A42" s="25" t="s">
        <v>26</v>
      </c>
      <c r="B42" s="26" t="s">
        <v>170</v>
      </c>
      <c r="C42" s="25" t="s">
        <v>17</v>
      </c>
      <c r="D42" s="27">
        <v>1</v>
      </c>
      <c r="E42" s="27">
        <v>3.4079999999999999</v>
      </c>
      <c r="F42" s="27">
        <v>0.3</v>
      </c>
      <c r="G42" s="27">
        <v>0.3</v>
      </c>
      <c r="H42" s="28" t="s">
        <v>171</v>
      </c>
      <c r="I42" s="56">
        <f>_xlfn.LET(_xlpm.qty, D42, _xlpm.L, E42, _xlpm.W, F42, _xlpm.H, G42, _xlpm.qty * _xlpm.L * _xlpm.W * _xlpm.H)</f>
        <v>0.30671999999999999</v>
      </c>
      <c r="J42" s="26" t="s">
        <v>172</v>
      </c>
      <c r="K42" s="26" t="s">
        <v>173</v>
      </c>
    </row>
    <row r="43" spans="1:11" x14ac:dyDescent="0.3">
      <c r="A43" s="25" t="s">
        <v>31</v>
      </c>
      <c r="B43" s="26" t="s">
        <v>174</v>
      </c>
      <c r="C43" s="25" t="s">
        <v>17</v>
      </c>
      <c r="D43" s="27">
        <v>-3</v>
      </c>
      <c r="E43" s="27">
        <v>0.15</v>
      </c>
      <c r="F43" s="27">
        <v>1.2</v>
      </c>
      <c r="G43" s="28"/>
      <c r="H43" s="28" t="s">
        <v>175</v>
      </c>
      <c r="I43" s="56">
        <f>_xlfn.LET(_xlpm.n, D43, _xlpm.H, E43, _xlpm.D, F43, _xlpm.n * PI() * (_xlpm.D/2)^2 * _xlpm.H)</f>
        <v>-0.50893800988154647</v>
      </c>
      <c r="J43" s="26" t="s">
        <v>176</v>
      </c>
      <c r="K43" s="26" t="s">
        <v>177</v>
      </c>
    </row>
    <row r="44" spans="1:11" x14ac:dyDescent="0.3">
      <c r="A44" s="22" t="s">
        <v>41</v>
      </c>
      <c r="B44" s="23" t="s">
        <v>178</v>
      </c>
      <c r="C44" s="22" t="s">
        <v>17</v>
      </c>
      <c r="D44" s="24"/>
      <c r="E44" s="24"/>
      <c r="F44" s="24"/>
      <c r="G44" s="24"/>
      <c r="H44" s="24" t="s">
        <v>179</v>
      </c>
      <c r="I44" s="59">
        <f>SUM(I45:I46)</f>
        <v>14.224629999999999</v>
      </c>
      <c r="J44" s="24" t="s">
        <v>180</v>
      </c>
      <c r="K44" s="24" t="s">
        <v>181</v>
      </c>
    </row>
    <row r="45" spans="1:11" x14ac:dyDescent="0.3">
      <c r="A45" s="25" t="s">
        <v>21</v>
      </c>
      <c r="B45" s="26" t="s">
        <v>182</v>
      </c>
      <c r="C45" s="25" t="s">
        <v>17</v>
      </c>
      <c r="D45" s="27">
        <v>1</v>
      </c>
      <c r="E45" s="27">
        <v>12.515000000000001</v>
      </c>
      <c r="F45" s="27">
        <v>0.5</v>
      </c>
      <c r="G45" s="27">
        <v>2.0139999999999998</v>
      </c>
      <c r="H45" s="28" t="s">
        <v>183</v>
      </c>
      <c r="I45" s="56">
        <f>_xlfn.LET(_xlpm.qty, D45, _xlpm.L, E45, _xlpm.W, F45, _xlpm.H, G45, _xlpm.qty * _xlpm.L * _xlpm.W * _xlpm.H)</f>
        <v>12.602604999999999</v>
      </c>
      <c r="J45" s="26" t="s">
        <v>184</v>
      </c>
      <c r="K45" s="26" t="s">
        <v>185</v>
      </c>
    </row>
    <row r="46" spans="1:11" x14ac:dyDescent="0.3">
      <c r="A46" s="25" t="s">
        <v>26</v>
      </c>
      <c r="B46" s="26" t="s">
        <v>186</v>
      </c>
      <c r="C46" s="25" t="s">
        <v>17</v>
      </c>
      <c r="D46" s="27">
        <v>1</v>
      </c>
      <c r="E46" s="27">
        <v>12.015000000000001</v>
      </c>
      <c r="F46" s="27">
        <v>0.3</v>
      </c>
      <c r="G46" s="27">
        <v>0.45</v>
      </c>
      <c r="H46" s="28" t="s">
        <v>187</v>
      </c>
      <c r="I46" s="56">
        <f>_xlfn.LET(_xlpm.qty, D46, _xlpm.L, E46, _xlpm.W, F46, _xlpm.H, G46, _xlpm.qty * _xlpm.L * _xlpm.W * _xlpm.H)</f>
        <v>1.6220250000000001</v>
      </c>
      <c r="J46" s="26" t="s">
        <v>188</v>
      </c>
      <c r="K46" s="26" t="s">
        <v>189</v>
      </c>
    </row>
    <row r="47" spans="1:11" x14ac:dyDescent="0.3">
      <c r="A47" s="22" t="s">
        <v>74</v>
      </c>
      <c r="B47" s="23" t="s">
        <v>190</v>
      </c>
      <c r="C47" s="22" t="s">
        <v>17</v>
      </c>
      <c r="D47" s="24"/>
      <c r="E47" s="24"/>
      <c r="F47" s="24"/>
      <c r="G47" s="24"/>
      <c r="H47" s="24" t="s">
        <v>191</v>
      </c>
      <c r="I47" s="31">
        <f>SUM(I48:I49)</f>
        <v>3.44625</v>
      </c>
      <c r="J47" s="24" t="s">
        <v>192</v>
      </c>
      <c r="K47" s="24" t="s">
        <v>193</v>
      </c>
    </row>
    <row r="48" spans="1:11" x14ac:dyDescent="0.3">
      <c r="A48" s="25" t="s">
        <v>21</v>
      </c>
      <c r="B48" s="26" t="s">
        <v>194</v>
      </c>
      <c r="C48" s="25" t="s">
        <v>17</v>
      </c>
      <c r="D48" s="27">
        <v>1</v>
      </c>
      <c r="E48" s="27">
        <v>2.5</v>
      </c>
      <c r="F48" s="27">
        <v>0.5</v>
      </c>
      <c r="G48" s="27">
        <v>1.5069999999999999</v>
      </c>
      <c r="H48" s="28" t="s">
        <v>195</v>
      </c>
      <c r="I48" s="56">
        <f>_xlfn.LET(_xlpm.qty, D48, _xlpm.L, E48, _xlpm.W, F48, _xlpm.H, G48, _xlpm.qty * _xlpm.L * _xlpm.W * _xlpm.H)</f>
        <v>1.8837499999999998</v>
      </c>
      <c r="J48" s="26" t="s">
        <v>196</v>
      </c>
      <c r="K48" s="26" t="s">
        <v>197</v>
      </c>
    </row>
    <row r="49" spans="1:11" x14ac:dyDescent="0.3">
      <c r="A49" s="25" t="s">
        <v>26</v>
      </c>
      <c r="B49" s="26" t="s">
        <v>198</v>
      </c>
      <c r="C49" s="25" t="s">
        <v>17</v>
      </c>
      <c r="D49" s="27">
        <v>1</v>
      </c>
      <c r="E49" s="27">
        <v>0.5</v>
      </c>
      <c r="F49" s="27">
        <v>2.5</v>
      </c>
      <c r="G49" s="27">
        <v>2.5</v>
      </c>
      <c r="H49" s="28" t="s">
        <v>199</v>
      </c>
      <c r="I49" s="56">
        <f>_xlfn.LET(_xlpm.qty, D49, _xlpm.W, E49, _xlpm.B, F49, _xlpm.H, G49, _xlpm.qty * _xlpm.W * _xlpm.B * _xlpm.H * 0.5)</f>
        <v>1.5625</v>
      </c>
      <c r="J49" s="26" t="s">
        <v>200</v>
      </c>
      <c r="K49" s="26" t="s">
        <v>201</v>
      </c>
    </row>
    <row r="50" spans="1:11" x14ac:dyDescent="0.3">
      <c r="A50" s="22" t="s">
        <v>87</v>
      </c>
      <c r="B50" s="23" t="s">
        <v>202</v>
      </c>
      <c r="C50" s="22" t="s">
        <v>17</v>
      </c>
      <c r="D50" s="24"/>
      <c r="E50" s="24"/>
      <c r="F50" s="24"/>
      <c r="G50" s="24"/>
      <c r="H50" s="24" t="s">
        <v>203</v>
      </c>
      <c r="I50" s="31">
        <f>SUM(I51:I53)</f>
        <v>4.4829119999999998</v>
      </c>
      <c r="J50" s="24" t="s">
        <v>204</v>
      </c>
      <c r="K50" s="24" t="s">
        <v>205</v>
      </c>
    </row>
    <row r="51" spans="1:11" x14ac:dyDescent="0.3">
      <c r="A51" s="25" t="s">
        <v>21</v>
      </c>
      <c r="B51" s="26" t="s">
        <v>146</v>
      </c>
      <c r="C51" s="25" t="s">
        <v>17</v>
      </c>
      <c r="D51" s="27">
        <v>2</v>
      </c>
      <c r="E51" s="27">
        <v>1</v>
      </c>
      <c r="F51" s="27">
        <v>0.7</v>
      </c>
      <c r="G51" s="27">
        <v>1.0960000000000001</v>
      </c>
      <c r="H51" s="28" t="s">
        <v>115</v>
      </c>
      <c r="I51" s="56">
        <f>D51*E51*F51*G51</f>
        <v>1.5344</v>
      </c>
      <c r="J51" s="26" t="s">
        <v>206</v>
      </c>
      <c r="K51" s="26" t="s">
        <v>207</v>
      </c>
    </row>
    <row r="52" spans="1:11" x14ac:dyDescent="0.3">
      <c r="A52" s="25" t="s">
        <v>26</v>
      </c>
      <c r="B52" s="26" t="s">
        <v>208</v>
      </c>
      <c r="C52" s="25" t="s">
        <v>17</v>
      </c>
      <c r="D52" s="27">
        <v>1</v>
      </c>
      <c r="E52" s="27">
        <v>1.3</v>
      </c>
      <c r="F52" s="27">
        <v>0.15</v>
      </c>
      <c r="G52" s="27">
        <v>1.5</v>
      </c>
      <c r="H52" s="28" t="s">
        <v>115</v>
      </c>
      <c r="I52" s="56">
        <f>D52*E52*F52*G52</f>
        <v>0.29249999999999998</v>
      </c>
      <c r="J52" s="26" t="s">
        <v>209</v>
      </c>
      <c r="K52" s="26" t="s">
        <v>210</v>
      </c>
    </row>
    <row r="53" spans="1:11" x14ac:dyDescent="0.3">
      <c r="A53" s="25" t="s">
        <v>31</v>
      </c>
      <c r="B53" s="26" t="s">
        <v>211</v>
      </c>
      <c r="C53" s="25" t="s">
        <v>17</v>
      </c>
      <c r="D53" s="27">
        <v>1</v>
      </c>
      <c r="E53" s="27">
        <v>4.726</v>
      </c>
      <c r="F53" s="27">
        <v>0.56200000000000006</v>
      </c>
      <c r="G53" s="27">
        <v>1</v>
      </c>
      <c r="H53" s="28" t="s">
        <v>115</v>
      </c>
      <c r="I53" s="56">
        <f>D53*E53*F53*G53</f>
        <v>2.656012</v>
      </c>
      <c r="J53" s="26" t="s">
        <v>212</v>
      </c>
      <c r="K53" s="26" t="s">
        <v>213</v>
      </c>
    </row>
    <row r="54" spans="1:11" x14ac:dyDescent="0.3">
      <c r="A54" s="22" t="s">
        <v>100</v>
      </c>
      <c r="B54" s="23" t="s">
        <v>214</v>
      </c>
      <c r="C54" s="22" t="s">
        <v>17</v>
      </c>
      <c r="D54" s="24"/>
      <c r="E54" s="24"/>
      <c r="F54" s="24"/>
      <c r="G54" s="24"/>
      <c r="H54" s="24" t="s">
        <v>215</v>
      </c>
      <c r="I54" s="31">
        <f>SUM(I55:I56)</f>
        <v>2.4580079934123029</v>
      </c>
      <c r="J54" s="24" t="s">
        <v>216</v>
      </c>
      <c r="K54" s="24" t="s">
        <v>217</v>
      </c>
    </row>
    <row r="55" spans="1:11" x14ac:dyDescent="0.3">
      <c r="A55" s="25" t="s">
        <v>21</v>
      </c>
      <c r="B55" s="26" t="s">
        <v>218</v>
      </c>
      <c r="C55" s="25" t="s">
        <v>17</v>
      </c>
      <c r="D55" s="27">
        <v>1</v>
      </c>
      <c r="E55" s="27">
        <v>12.715</v>
      </c>
      <c r="F55" s="27">
        <v>2.2000000000000002</v>
      </c>
      <c r="G55" s="27">
        <v>0.1</v>
      </c>
      <c r="H55" s="28" t="s">
        <v>219</v>
      </c>
      <c r="I55" s="56">
        <f>_xlfn.LET(_xlpm.qty, D55, _xlpm.L, E55, _xlpm.W, F55, _xlpm.H, G55, _xlpm.qty * _xlpm.L * _xlpm.W * _xlpm.H)</f>
        <v>2.7973000000000003</v>
      </c>
      <c r="J55" s="26" t="s">
        <v>220</v>
      </c>
      <c r="K55" s="26" t="s">
        <v>221</v>
      </c>
    </row>
    <row r="56" spans="1:11" x14ac:dyDescent="0.3">
      <c r="A56" s="25" t="s">
        <v>26</v>
      </c>
      <c r="B56" s="26" t="s">
        <v>222</v>
      </c>
      <c r="C56" s="25" t="s">
        <v>17</v>
      </c>
      <c r="D56" s="27">
        <v>-3</v>
      </c>
      <c r="E56" s="27">
        <v>0.1</v>
      </c>
      <c r="F56" s="27">
        <v>1.2</v>
      </c>
      <c r="G56" s="28"/>
      <c r="H56" s="28" t="s">
        <v>223</v>
      </c>
      <c r="I56" s="56">
        <f>_xlfn.LET(_xlpm.n, D56, _xlpm.H, E56, _xlpm.D, F56, _xlpm.n * PI() * (_xlpm.D/2)^2 * _xlpm.H)</f>
        <v>-0.33929200658769765</v>
      </c>
      <c r="J56" s="26" t="s">
        <v>224</v>
      </c>
      <c r="K56" s="26" t="s">
        <v>225</v>
      </c>
    </row>
    <row r="57" spans="1:11" x14ac:dyDescent="0.3">
      <c r="A57" s="22" t="s">
        <v>105</v>
      </c>
      <c r="B57" s="23" t="s">
        <v>226</v>
      </c>
      <c r="C57" s="22" t="s">
        <v>70</v>
      </c>
      <c r="D57" s="24"/>
      <c r="E57" s="24"/>
      <c r="F57" s="24"/>
      <c r="G57" s="24"/>
      <c r="H57" s="24" t="s">
        <v>227</v>
      </c>
      <c r="I57" s="31">
        <f>SUM(I58:I63)</f>
        <v>129.75614000000002</v>
      </c>
      <c r="J57" s="24" t="s">
        <v>228</v>
      </c>
      <c r="K57" s="24" t="s">
        <v>229</v>
      </c>
    </row>
    <row r="58" spans="1:11" x14ac:dyDescent="0.3">
      <c r="A58" s="25" t="s">
        <v>21</v>
      </c>
      <c r="B58" s="26" t="s">
        <v>230</v>
      </c>
      <c r="C58" s="25" t="s">
        <v>70</v>
      </c>
      <c r="D58" s="27">
        <v>1</v>
      </c>
      <c r="E58" s="27">
        <v>12.515000000000001</v>
      </c>
      <c r="F58" s="27">
        <v>2</v>
      </c>
      <c r="G58" s="27">
        <v>2.1240000000000001</v>
      </c>
      <c r="H58" s="28" t="s">
        <v>231</v>
      </c>
      <c r="I58" s="56">
        <f>_xlfn.LET(_xlpm.qty, D58, _xlpm.L, E58, _xlpm.W, F58, _xlpm.H, G58, _xlpm.qty * 2 * (_xlpm.L + _xlpm.W) * _xlpm.H)</f>
        <v>61.659720000000007</v>
      </c>
      <c r="J58" s="26" t="s">
        <v>232</v>
      </c>
      <c r="K58" s="26" t="s">
        <v>233</v>
      </c>
    </row>
    <row r="59" spans="1:11" x14ac:dyDescent="0.3">
      <c r="A59" s="25" t="s">
        <v>26</v>
      </c>
      <c r="B59" s="26" t="s">
        <v>234</v>
      </c>
      <c r="C59" s="25" t="s">
        <v>70</v>
      </c>
      <c r="D59" s="27">
        <v>1</v>
      </c>
      <c r="E59" s="27">
        <v>12.515000000000001</v>
      </c>
      <c r="F59" s="27">
        <v>0.5</v>
      </c>
      <c r="G59" s="27">
        <v>2.0139999999999998</v>
      </c>
      <c r="H59" s="28" t="s">
        <v>235</v>
      </c>
      <c r="I59" s="56">
        <f>_xlfn.LET(_xlpm.qty, D59, _xlpm.L, E59, _xlpm.W, F59, _xlpm.H, G59, _xlpm.qty * 2 * (_xlpm.L + _xlpm.W) * _xlpm.H)</f>
        <v>52.424419999999998</v>
      </c>
      <c r="J59" s="26" t="s">
        <v>236</v>
      </c>
      <c r="K59" s="26" t="s">
        <v>237</v>
      </c>
    </row>
    <row r="60" spans="1:11" x14ac:dyDescent="0.3">
      <c r="A60" s="25" t="s">
        <v>31</v>
      </c>
      <c r="B60" s="26" t="s">
        <v>238</v>
      </c>
      <c r="C60" s="25" t="s">
        <v>70</v>
      </c>
      <c r="D60" s="27">
        <v>1</v>
      </c>
      <c r="E60" s="27">
        <v>16.306000000000001</v>
      </c>
      <c r="F60" s="28"/>
      <c r="G60" s="28"/>
      <c r="H60" s="28" t="s">
        <v>239</v>
      </c>
      <c r="I60" s="56">
        <f>D60*E60</f>
        <v>16.306000000000001</v>
      </c>
      <c r="J60" s="26" t="s">
        <v>240</v>
      </c>
      <c r="K60" s="26" t="s">
        <v>241</v>
      </c>
    </row>
    <row r="61" spans="1:11" x14ac:dyDescent="0.3">
      <c r="A61" s="25" t="s">
        <v>36</v>
      </c>
      <c r="B61" s="26" t="s">
        <v>242</v>
      </c>
      <c r="C61" s="25" t="s">
        <v>70</v>
      </c>
      <c r="D61" s="27">
        <v>1</v>
      </c>
      <c r="E61" s="27">
        <v>26.498999999999999</v>
      </c>
      <c r="F61" s="28"/>
      <c r="G61" s="28"/>
      <c r="H61" s="28" t="s">
        <v>239</v>
      </c>
      <c r="I61" s="56">
        <f>D61*E61</f>
        <v>26.498999999999999</v>
      </c>
      <c r="J61" s="26" t="s">
        <v>243</v>
      </c>
      <c r="K61" s="26" t="s">
        <v>244</v>
      </c>
    </row>
    <row r="62" spans="1:11" x14ac:dyDescent="0.3">
      <c r="A62" s="25" t="s">
        <v>245</v>
      </c>
      <c r="B62" s="26" t="s">
        <v>246</v>
      </c>
      <c r="C62" s="25" t="s">
        <v>70</v>
      </c>
      <c r="D62" s="27">
        <v>1</v>
      </c>
      <c r="E62" s="27">
        <v>12.715</v>
      </c>
      <c r="F62" s="27">
        <v>2.2000000000000002</v>
      </c>
      <c r="G62" s="27">
        <v>0.1</v>
      </c>
      <c r="H62" s="28" t="s">
        <v>247</v>
      </c>
      <c r="I62" s="56">
        <f>D62*2*(E62+F62)*G62</f>
        <v>2.9830000000000001</v>
      </c>
      <c r="J62" s="26" t="s">
        <v>248</v>
      </c>
      <c r="K62" s="26" t="s">
        <v>249</v>
      </c>
    </row>
    <row r="63" spans="1:11" x14ac:dyDescent="0.3">
      <c r="A63" s="25" t="s">
        <v>250</v>
      </c>
      <c r="B63" s="26" t="s">
        <v>251</v>
      </c>
      <c r="C63" s="25" t="s">
        <v>70</v>
      </c>
      <c r="D63" s="27">
        <v>1</v>
      </c>
      <c r="E63" s="27">
        <v>-30.116</v>
      </c>
      <c r="F63" s="28"/>
      <c r="G63" s="28"/>
      <c r="H63" s="28" t="s">
        <v>239</v>
      </c>
      <c r="I63" s="56">
        <f>D63*E63</f>
        <v>-30.116</v>
      </c>
      <c r="J63" s="26" t="s">
        <v>252</v>
      </c>
      <c r="K63" s="26" t="s">
        <v>253</v>
      </c>
    </row>
    <row r="64" spans="1:11" x14ac:dyDescent="0.3">
      <c r="A64" s="22" t="s">
        <v>118</v>
      </c>
      <c r="B64" s="23" t="s">
        <v>254</v>
      </c>
      <c r="C64" s="22" t="s">
        <v>70</v>
      </c>
      <c r="D64" s="24"/>
      <c r="E64" s="24"/>
      <c r="F64" s="24"/>
      <c r="G64" s="24"/>
      <c r="H64" s="24" t="s">
        <v>255</v>
      </c>
      <c r="I64" s="31">
        <f>SUM(I65:I66)</f>
        <v>63.094119999999997</v>
      </c>
      <c r="J64" s="24" t="s">
        <v>256</v>
      </c>
      <c r="K64" s="24" t="s">
        <v>257</v>
      </c>
    </row>
    <row r="65" spans="1:11" x14ac:dyDescent="0.3">
      <c r="A65" s="25" t="s">
        <v>21</v>
      </c>
      <c r="B65" s="26" t="s">
        <v>258</v>
      </c>
      <c r="C65" s="25" t="s">
        <v>70</v>
      </c>
      <c r="D65" s="27">
        <v>1</v>
      </c>
      <c r="E65" s="27">
        <v>11.515000000000001</v>
      </c>
      <c r="F65" s="27">
        <v>3.4079999999999999</v>
      </c>
      <c r="G65" s="28"/>
      <c r="H65" s="28" t="s">
        <v>259</v>
      </c>
      <c r="I65" s="56">
        <f>D65*E65*F65</f>
        <v>39.243119999999998</v>
      </c>
      <c r="J65" s="26" t="s">
        <v>260</v>
      </c>
      <c r="K65" s="26" t="s">
        <v>261</v>
      </c>
    </row>
    <row r="66" spans="1:11" x14ac:dyDescent="0.3">
      <c r="A66" s="25" t="s">
        <v>26</v>
      </c>
      <c r="B66" s="26" t="s">
        <v>262</v>
      </c>
      <c r="C66" s="25" t="s">
        <v>70</v>
      </c>
      <c r="D66" s="27">
        <v>1</v>
      </c>
      <c r="E66" s="27">
        <v>23.850999999999999</v>
      </c>
      <c r="F66" s="28"/>
      <c r="G66" s="28"/>
      <c r="H66" s="28" t="s">
        <v>239</v>
      </c>
      <c r="I66" s="56">
        <f>D66*E66</f>
        <v>23.850999999999999</v>
      </c>
      <c r="J66" s="26" t="s">
        <v>263</v>
      </c>
      <c r="K66" s="26" t="s">
        <v>264</v>
      </c>
    </row>
    <row r="67" spans="1:11" x14ac:dyDescent="0.3">
      <c r="A67" s="20" t="s">
        <v>265</v>
      </c>
      <c r="B67" s="21" t="s">
        <v>266</v>
      </c>
      <c r="C67" s="20"/>
      <c r="D67" s="20"/>
      <c r="E67" s="20"/>
      <c r="F67" s="20"/>
      <c r="G67" s="20"/>
      <c r="H67" s="20"/>
      <c r="I67" s="57"/>
      <c r="J67" s="20"/>
      <c r="K67" s="20"/>
    </row>
    <row r="68" spans="1:11" x14ac:dyDescent="0.3">
      <c r="A68" s="22" t="s">
        <v>15</v>
      </c>
      <c r="B68" s="23" t="s">
        <v>267</v>
      </c>
      <c r="C68" s="22" t="s">
        <v>17</v>
      </c>
      <c r="D68" s="24"/>
      <c r="E68" s="24"/>
      <c r="F68" s="24"/>
      <c r="G68" s="24"/>
      <c r="H68" s="24" t="s">
        <v>268</v>
      </c>
      <c r="I68" s="31">
        <f>I69+I70</f>
        <v>368.48566394729841</v>
      </c>
      <c r="J68" s="24" t="s">
        <v>269</v>
      </c>
      <c r="K68" s="24" t="s">
        <v>270</v>
      </c>
    </row>
    <row r="69" spans="1:11" x14ac:dyDescent="0.3">
      <c r="A69" s="25" t="s">
        <v>21</v>
      </c>
      <c r="B69" s="26" t="s">
        <v>271</v>
      </c>
      <c r="C69" s="25" t="s">
        <v>17</v>
      </c>
      <c r="D69" s="27">
        <v>2</v>
      </c>
      <c r="E69" s="27">
        <v>11.6</v>
      </c>
      <c r="F69" s="27">
        <v>8</v>
      </c>
      <c r="G69" s="27">
        <v>2</v>
      </c>
      <c r="H69" s="28" t="s">
        <v>272</v>
      </c>
      <c r="I69" s="56">
        <f>_xlfn.LET(_xlpm.qty, D69, _xlpm.L, E69, _xlpm.W, F69, _xlpm.H, G69, _xlpm.qty*_xlpm.L*_xlpm.W*_xlpm.H)</f>
        <v>371.2</v>
      </c>
      <c r="J69" s="26" t="s">
        <v>273</v>
      </c>
      <c r="K69" s="26" t="s">
        <v>274</v>
      </c>
    </row>
    <row r="70" spans="1:11" x14ac:dyDescent="0.3">
      <c r="A70" s="25" t="s">
        <v>26</v>
      </c>
      <c r="B70" s="26" t="s">
        <v>275</v>
      </c>
      <c r="C70" s="25" t="s">
        <v>17</v>
      </c>
      <c r="D70" s="27">
        <v>-16</v>
      </c>
      <c r="E70" s="27">
        <v>0.15</v>
      </c>
      <c r="F70" s="27">
        <v>1.2</v>
      </c>
      <c r="G70" s="28"/>
      <c r="H70" s="28" t="s">
        <v>276</v>
      </c>
      <c r="I70" s="56">
        <f>_xlfn.LET(_xlpm.n, D70, _xlpm.h, E70, _xlpm.D, F70, _xlpm.n*PI()*(_xlpm.D/2)^2*_xlpm.h)</f>
        <v>-2.7143360527015812</v>
      </c>
      <c r="J70" s="26" t="s">
        <v>277</v>
      </c>
      <c r="K70" s="26" t="s">
        <v>278</v>
      </c>
    </row>
    <row r="71" spans="1:11" x14ac:dyDescent="0.3">
      <c r="A71" s="29" t="s">
        <v>279</v>
      </c>
      <c r="B71" s="30" t="s">
        <v>280</v>
      </c>
      <c r="C71" s="29"/>
      <c r="D71" s="29"/>
      <c r="E71" s="29"/>
      <c r="F71" s="29"/>
      <c r="G71" s="29"/>
      <c r="H71" s="29" t="s">
        <v>281</v>
      </c>
      <c r="I71" s="58">
        <f>0</f>
        <v>0</v>
      </c>
      <c r="J71" s="30" t="s">
        <v>282</v>
      </c>
      <c r="K71" s="30" t="s">
        <v>283</v>
      </c>
    </row>
    <row r="72" spans="1:11" x14ac:dyDescent="0.3">
      <c r="A72" s="22" t="s">
        <v>41</v>
      </c>
      <c r="B72" s="23" t="s">
        <v>284</v>
      </c>
      <c r="C72" s="22" t="s">
        <v>70</v>
      </c>
      <c r="D72" s="24">
        <v>2</v>
      </c>
      <c r="E72" s="24">
        <v>11.6</v>
      </c>
      <c r="F72" s="24">
        <v>8</v>
      </c>
      <c r="G72" s="24">
        <v>2</v>
      </c>
      <c r="H72" s="24" t="s">
        <v>285</v>
      </c>
      <c r="I72" s="31">
        <f>_xlfn.LET(_xlpm.qty, D72, _xlpm.L, E72, _xlpm.W, F72, _xlpm.H, G72, _xlpm.qty*2*(_xlpm.L+_xlpm.W)*_xlpm.H)</f>
        <v>156.80000000000001</v>
      </c>
      <c r="J72" s="24" t="s">
        <v>286</v>
      </c>
      <c r="K72" s="24" t="s">
        <v>287</v>
      </c>
    </row>
    <row r="73" spans="1:11" x14ac:dyDescent="0.3">
      <c r="A73" s="22" t="s">
        <v>74</v>
      </c>
      <c r="B73" s="23" t="s">
        <v>288</v>
      </c>
      <c r="C73" s="22" t="s">
        <v>17</v>
      </c>
      <c r="D73" s="24">
        <v>2</v>
      </c>
      <c r="E73" s="24">
        <v>11.8</v>
      </c>
      <c r="F73" s="24">
        <v>8.1999999999999993</v>
      </c>
      <c r="G73" s="24">
        <v>0.1</v>
      </c>
      <c r="H73" s="24" t="s">
        <v>289</v>
      </c>
      <c r="I73" s="31">
        <f>_xlfn.LET(_xlpm.qty, D73, _xlpm.L, E73, _xlpm.W, F73, _xlpm.H, G73, _xlpm.qty*(_xlpm.L*_xlpm.W*_xlpm.H - 8*PI()*(1.2/2)^2*_xlpm.H))</f>
        <v>17.542442631532278</v>
      </c>
      <c r="J73" s="24" t="s">
        <v>290</v>
      </c>
      <c r="K73" s="24" t="s">
        <v>291</v>
      </c>
    </row>
    <row r="74" spans="1:11" x14ac:dyDescent="0.3">
      <c r="A74" s="93" t="s">
        <v>87</v>
      </c>
      <c r="B74" s="94" t="s">
        <v>292</v>
      </c>
      <c r="C74" s="93" t="s">
        <v>17</v>
      </c>
      <c r="D74" s="95"/>
      <c r="E74" s="95"/>
      <c r="F74" s="95"/>
      <c r="G74" s="95"/>
      <c r="H74" s="94" t="s">
        <v>293</v>
      </c>
      <c r="I74" s="96">
        <f>I75+I87</f>
        <v>501.71275184857751</v>
      </c>
      <c r="J74" s="94" t="s">
        <v>294</v>
      </c>
      <c r="K74" s="97"/>
    </row>
    <row r="75" spans="1:11" x14ac:dyDescent="0.3">
      <c r="A75" s="98" t="s">
        <v>21</v>
      </c>
      <c r="B75" s="99" t="s">
        <v>295</v>
      </c>
      <c r="C75" s="98" t="s">
        <v>17</v>
      </c>
      <c r="D75" s="100"/>
      <c r="E75" s="100"/>
      <c r="F75" s="100"/>
      <c r="G75" s="100"/>
      <c r="H75" s="99" t="s">
        <v>296</v>
      </c>
      <c r="I75" s="101">
        <f>SUM(I76:I85)</f>
        <v>234.92204568256301</v>
      </c>
      <c r="J75" s="99" t="s">
        <v>297</v>
      </c>
      <c r="K75" s="102"/>
    </row>
    <row r="76" spans="1:11" x14ac:dyDescent="0.3">
      <c r="A76" s="103" t="s">
        <v>298</v>
      </c>
      <c r="B76" s="104" t="s">
        <v>299</v>
      </c>
      <c r="C76" s="103" t="s">
        <v>17</v>
      </c>
      <c r="D76" s="105">
        <v>1</v>
      </c>
      <c r="E76" s="106">
        <v>3.5</v>
      </c>
      <c r="F76" s="106">
        <v>1.5</v>
      </c>
      <c r="G76" s="106">
        <v>9.6999999999999993</v>
      </c>
      <c r="H76" s="104" t="s">
        <v>300</v>
      </c>
      <c r="I76" s="106">
        <f>D76*E76*F76*G76</f>
        <v>50.924999999999997</v>
      </c>
      <c r="J76" s="104" t="s">
        <v>301</v>
      </c>
      <c r="K76" s="102"/>
    </row>
    <row r="77" spans="1:11" x14ac:dyDescent="0.3">
      <c r="A77" s="103" t="s">
        <v>302</v>
      </c>
      <c r="B77" s="104" t="s">
        <v>303</v>
      </c>
      <c r="C77" s="103" t="s">
        <v>17</v>
      </c>
      <c r="D77" s="105">
        <v>1</v>
      </c>
      <c r="E77" s="107"/>
      <c r="F77" s="106">
        <v>1.5</v>
      </c>
      <c r="G77" s="106">
        <v>9.6999999999999993</v>
      </c>
      <c r="H77" s="104" t="s">
        <v>304</v>
      </c>
      <c r="I77" s="106">
        <f>D77*PI()*(F77/2)^2*G77</f>
        <v>17.141314916149309</v>
      </c>
      <c r="J77" s="104" t="s">
        <v>305</v>
      </c>
      <c r="K77" s="102"/>
    </row>
    <row r="78" spans="1:11" x14ac:dyDescent="0.3">
      <c r="A78" s="103" t="s">
        <v>306</v>
      </c>
      <c r="B78" s="104" t="s">
        <v>307</v>
      </c>
      <c r="C78" s="103" t="s">
        <v>17</v>
      </c>
      <c r="D78" s="105">
        <v>1</v>
      </c>
      <c r="E78" s="106">
        <v>3.5</v>
      </c>
      <c r="F78" s="106">
        <v>1.8</v>
      </c>
      <c r="G78" s="106">
        <v>0.3</v>
      </c>
      <c r="H78" s="104" t="s">
        <v>308</v>
      </c>
      <c r="I78" s="106">
        <f>D78*E78*F78*G78</f>
        <v>1.89</v>
      </c>
      <c r="J78" s="104" t="s">
        <v>309</v>
      </c>
      <c r="K78" s="102"/>
    </row>
    <row r="79" spans="1:11" x14ac:dyDescent="0.3">
      <c r="A79" s="103" t="s">
        <v>310</v>
      </c>
      <c r="B79" s="104" t="s">
        <v>311</v>
      </c>
      <c r="C79" s="103" t="s">
        <v>17</v>
      </c>
      <c r="D79" s="105">
        <v>1</v>
      </c>
      <c r="E79" s="106">
        <v>2.6153759999999999</v>
      </c>
      <c r="F79" s="107"/>
      <c r="G79" s="106">
        <v>0.3</v>
      </c>
      <c r="H79" s="104" t="s">
        <v>312</v>
      </c>
      <c r="I79" s="106">
        <f>D79*E79*G79</f>
        <v>0.7846128</v>
      </c>
      <c r="J79" s="104" t="s">
        <v>313</v>
      </c>
      <c r="K79" s="102"/>
    </row>
    <row r="80" spans="1:11" x14ac:dyDescent="0.3">
      <c r="A80" s="103" t="s">
        <v>314</v>
      </c>
      <c r="B80" s="104" t="s">
        <v>315</v>
      </c>
      <c r="C80" s="103" t="s">
        <v>17</v>
      </c>
      <c r="D80" s="105">
        <v>1</v>
      </c>
      <c r="E80" s="106">
        <v>3.5</v>
      </c>
      <c r="F80" s="106">
        <v>2.1</v>
      </c>
      <c r="G80" s="106">
        <v>9.6999999999999993</v>
      </c>
      <c r="H80" s="104" t="s">
        <v>316</v>
      </c>
      <c r="I80" s="106">
        <f>D80*E80*F80*G80</f>
        <v>71.295000000000002</v>
      </c>
      <c r="J80" s="104" t="s">
        <v>317</v>
      </c>
      <c r="K80" s="102"/>
    </row>
    <row r="81" spans="1:11" x14ac:dyDescent="0.3">
      <c r="A81" s="103" t="s">
        <v>318</v>
      </c>
      <c r="B81" s="104" t="s">
        <v>319</v>
      </c>
      <c r="C81" s="103" t="s">
        <v>17</v>
      </c>
      <c r="D81" s="105">
        <v>1</v>
      </c>
      <c r="E81" s="108"/>
      <c r="F81" s="106">
        <v>2.1</v>
      </c>
      <c r="G81" s="106">
        <v>9.6999999999999993</v>
      </c>
      <c r="H81" s="104" t="s">
        <v>320</v>
      </c>
      <c r="I81" s="106">
        <f>D81*PI()*(F81/2)^2*G81</f>
        <v>33.596977235652645</v>
      </c>
      <c r="J81" s="104" t="s">
        <v>321</v>
      </c>
      <c r="K81" s="97"/>
    </row>
    <row r="82" spans="1:11" x14ac:dyDescent="0.3">
      <c r="A82" s="103" t="s">
        <v>322</v>
      </c>
      <c r="B82" s="104" t="s">
        <v>323</v>
      </c>
      <c r="C82" s="103" t="s">
        <v>17</v>
      </c>
      <c r="D82" s="105">
        <v>1</v>
      </c>
      <c r="E82" s="106">
        <v>3.5</v>
      </c>
      <c r="F82" s="106">
        <v>2.4</v>
      </c>
      <c r="G82" s="106">
        <v>0.3</v>
      </c>
      <c r="H82" s="104" t="s">
        <v>324</v>
      </c>
      <c r="I82" s="106">
        <f>D82*E82*F82*G82</f>
        <v>2.52</v>
      </c>
      <c r="J82" s="104" t="s">
        <v>325</v>
      </c>
      <c r="K82" s="102"/>
    </row>
    <row r="83" spans="1:11" x14ac:dyDescent="0.3">
      <c r="A83" s="103" t="s">
        <v>326</v>
      </c>
      <c r="B83" s="104" t="s">
        <v>327</v>
      </c>
      <c r="C83" s="103" t="s">
        <v>17</v>
      </c>
      <c r="D83" s="105">
        <v>1</v>
      </c>
      <c r="E83" s="106">
        <v>4.5945790000000004</v>
      </c>
      <c r="F83" s="107"/>
      <c r="G83" s="106">
        <v>0.3</v>
      </c>
      <c r="H83" s="104" t="s">
        <v>328</v>
      </c>
      <c r="I83" s="106">
        <f>D83*E83*G83</f>
        <v>1.3783737</v>
      </c>
      <c r="J83" s="104" t="s">
        <v>329</v>
      </c>
      <c r="K83" s="102"/>
    </row>
    <row r="84" spans="1:11" x14ac:dyDescent="0.3">
      <c r="A84" s="103" t="s">
        <v>330</v>
      </c>
      <c r="B84" s="104" t="s">
        <v>331</v>
      </c>
      <c r="C84" s="103" t="s">
        <v>17</v>
      </c>
      <c r="D84" s="105">
        <v>1</v>
      </c>
      <c r="E84" s="106">
        <v>3.5</v>
      </c>
      <c r="F84" s="106">
        <v>2.7</v>
      </c>
      <c r="G84" s="106">
        <v>3.65</v>
      </c>
      <c r="H84" s="104" t="s">
        <v>332</v>
      </c>
      <c r="I84" s="106">
        <f>D84*E84*F84*G84</f>
        <v>34.4925</v>
      </c>
      <c r="J84" s="104" t="s">
        <v>333</v>
      </c>
      <c r="K84" s="97"/>
    </row>
    <row r="85" spans="1:11" x14ac:dyDescent="0.3">
      <c r="A85" s="103" t="s">
        <v>334</v>
      </c>
      <c r="B85" s="104" t="s">
        <v>335</v>
      </c>
      <c r="C85" s="103" t="s">
        <v>17</v>
      </c>
      <c r="D85" s="105">
        <v>1</v>
      </c>
      <c r="E85" s="108"/>
      <c r="F85" s="106">
        <v>2.7</v>
      </c>
      <c r="G85" s="106">
        <v>3.65</v>
      </c>
      <c r="H85" s="104" t="s">
        <v>336</v>
      </c>
      <c r="I85" s="106">
        <f>D85*PI()*(F85/2)^2*G85</f>
        <v>20.898267030761005</v>
      </c>
      <c r="J85" s="104" t="s">
        <v>337</v>
      </c>
      <c r="K85" s="97"/>
    </row>
    <row r="86" spans="1:11" x14ac:dyDescent="0.3">
      <c r="A86" s="109" t="s">
        <v>279</v>
      </c>
      <c r="B86" s="110" t="s">
        <v>338</v>
      </c>
      <c r="C86" s="109"/>
      <c r="D86" s="111"/>
      <c r="E86" s="111"/>
      <c r="F86" s="111"/>
      <c r="G86" s="111"/>
      <c r="H86" s="110" t="s">
        <v>339</v>
      </c>
      <c r="I86" s="112">
        <v>0</v>
      </c>
      <c r="J86" s="110" t="s">
        <v>340</v>
      </c>
      <c r="K86" s="97"/>
    </row>
    <row r="87" spans="1:11" x14ac:dyDescent="0.3">
      <c r="A87" s="98" t="s">
        <v>26</v>
      </c>
      <c r="B87" s="99" t="s">
        <v>341</v>
      </c>
      <c r="C87" s="98" t="s">
        <v>17</v>
      </c>
      <c r="D87" s="100"/>
      <c r="E87" s="100"/>
      <c r="F87" s="100"/>
      <c r="G87" s="100"/>
      <c r="H87" s="99" t="s">
        <v>342</v>
      </c>
      <c r="I87" s="101">
        <f>SUM(I88:I97)</f>
        <v>266.7907061660145</v>
      </c>
      <c r="J87" s="99" t="s">
        <v>343</v>
      </c>
      <c r="K87" s="113"/>
    </row>
    <row r="88" spans="1:11" x14ac:dyDescent="0.3">
      <c r="A88" s="103" t="s">
        <v>298</v>
      </c>
      <c r="B88" s="104" t="s">
        <v>299</v>
      </c>
      <c r="C88" s="103" t="s">
        <v>17</v>
      </c>
      <c r="D88" s="105">
        <v>1</v>
      </c>
      <c r="E88" s="106">
        <v>3.5</v>
      </c>
      <c r="F88" s="106">
        <v>1.5</v>
      </c>
      <c r="G88" s="106">
        <v>9.6999999999999993</v>
      </c>
      <c r="H88" s="104" t="s">
        <v>344</v>
      </c>
      <c r="I88" s="106">
        <f>D88*E88*F88*G88</f>
        <v>50.924999999999997</v>
      </c>
      <c r="J88" s="104" t="s">
        <v>345</v>
      </c>
      <c r="K88" s="113"/>
    </row>
    <row r="89" spans="1:11" x14ac:dyDescent="0.3">
      <c r="A89" s="103" t="s">
        <v>302</v>
      </c>
      <c r="B89" s="104" t="s">
        <v>303</v>
      </c>
      <c r="C89" s="103" t="s">
        <v>17</v>
      </c>
      <c r="D89" s="105">
        <v>1</v>
      </c>
      <c r="E89" s="108"/>
      <c r="F89" s="106">
        <v>1.5</v>
      </c>
      <c r="G89" s="106">
        <v>9.6999999999999993</v>
      </c>
      <c r="H89" s="104" t="s">
        <v>346</v>
      </c>
      <c r="I89" s="106">
        <f>D89*PI()*(F89/2)^2*G89</f>
        <v>17.141314916149309</v>
      </c>
      <c r="J89" s="104" t="s">
        <v>347</v>
      </c>
      <c r="K89" s="113"/>
    </row>
    <row r="90" spans="1:11" x14ac:dyDescent="0.3">
      <c r="A90" s="103" t="s">
        <v>306</v>
      </c>
      <c r="B90" s="104" t="s">
        <v>307</v>
      </c>
      <c r="C90" s="103" t="s">
        <v>17</v>
      </c>
      <c r="D90" s="105">
        <v>1</v>
      </c>
      <c r="E90" s="106">
        <v>3.5</v>
      </c>
      <c r="F90" s="106">
        <v>1.8</v>
      </c>
      <c r="G90" s="106">
        <v>0.3</v>
      </c>
      <c r="H90" s="104" t="s">
        <v>348</v>
      </c>
      <c r="I90" s="106">
        <f>D90*E90*F90*G90</f>
        <v>1.89</v>
      </c>
      <c r="J90" s="104" t="s">
        <v>309</v>
      </c>
      <c r="K90" s="113"/>
    </row>
    <row r="91" spans="1:11" x14ac:dyDescent="0.3">
      <c r="A91" s="103" t="s">
        <v>310</v>
      </c>
      <c r="B91" s="104" t="s">
        <v>311</v>
      </c>
      <c r="C91" s="103" t="s">
        <v>17</v>
      </c>
      <c r="D91" s="105">
        <v>1</v>
      </c>
      <c r="E91" s="106">
        <v>2.6153759999999999</v>
      </c>
      <c r="F91" s="108"/>
      <c r="G91" s="106">
        <v>0.3</v>
      </c>
      <c r="H91" s="104" t="s">
        <v>349</v>
      </c>
      <c r="I91" s="106">
        <f>D91*E91*G91</f>
        <v>0.7846128</v>
      </c>
      <c r="J91" s="104" t="s">
        <v>313</v>
      </c>
      <c r="K91" s="113"/>
    </row>
    <row r="92" spans="1:11" x14ac:dyDescent="0.3">
      <c r="A92" s="103" t="s">
        <v>314</v>
      </c>
      <c r="B92" s="104" t="s">
        <v>315</v>
      </c>
      <c r="C92" s="103" t="s">
        <v>17</v>
      </c>
      <c r="D92" s="105">
        <v>1</v>
      </c>
      <c r="E92" s="106">
        <v>3.5</v>
      </c>
      <c r="F92" s="106">
        <v>2.1</v>
      </c>
      <c r="G92" s="106">
        <v>9.6999999999999993</v>
      </c>
      <c r="H92" s="104" t="s">
        <v>350</v>
      </c>
      <c r="I92" s="106">
        <f>D92*E92*F92*G92</f>
        <v>71.295000000000002</v>
      </c>
      <c r="J92" s="104" t="s">
        <v>351</v>
      </c>
      <c r="K92" s="113"/>
    </row>
    <row r="93" spans="1:11" x14ac:dyDescent="0.3">
      <c r="A93" s="103" t="s">
        <v>318</v>
      </c>
      <c r="B93" s="104" t="s">
        <v>319</v>
      </c>
      <c r="C93" s="103" t="s">
        <v>17</v>
      </c>
      <c r="D93" s="105">
        <v>1</v>
      </c>
      <c r="E93" s="108"/>
      <c r="F93" s="106">
        <v>2.1</v>
      </c>
      <c r="G93" s="106">
        <v>9.6999999999999993</v>
      </c>
      <c r="H93" s="104" t="s">
        <v>352</v>
      </c>
      <c r="I93" s="106">
        <f>D93*PI()*(F93/2)^2*G93</f>
        <v>33.596977235652645</v>
      </c>
      <c r="J93" s="104" t="s">
        <v>353</v>
      </c>
      <c r="K93" s="113"/>
    </row>
    <row r="94" spans="1:11" x14ac:dyDescent="0.3">
      <c r="A94" s="103" t="s">
        <v>322</v>
      </c>
      <c r="B94" s="104" t="s">
        <v>323</v>
      </c>
      <c r="C94" s="103" t="s">
        <v>17</v>
      </c>
      <c r="D94" s="105">
        <v>1</v>
      </c>
      <c r="E94" s="106">
        <v>3.5</v>
      </c>
      <c r="F94" s="106">
        <v>2.4</v>
      </c>
      <c r="G94" s="106">
        <v>0.3</v>
      </c>
      <c r="H94" s="104" t="s">
        <v>354</v>
      </c>
      <c r="I94" s="106">
        <f>D94*E94*F94*G94</f>
        <v>2.52</v>
      </c>
      <c r="J94" s="104" t="s">
        <v>355</v>
      </c>
      <c r="K94" s="113"/>
    </row>
    <row r="95" spans="1:11" x14ac:dyDescent="0.3">
      <c r="A95" s="103" t="s">
        <v>326</v>
      </c>
      <c r="B95" s="104" t="s">
        <v>327</v>
      </c>
      <c r="C95" s="103" t="s">
        <v>17</v>
      </c>
      <c r="D95" s="105">
        <v>1</v>
      </c>
      <c r="E95" s="106">
        <v>4.5945790000000004</v>
      </c>
      <c r="F95" s="108"/>
      <c r="G95" s="106">
        <v>0.3</v>
      </c>
      <c r="H95" s="104" t="s">
        <v>356</v>
      </c>
      <c r="I95" s="106">
        <f>D95*E95*G95</f>
        <v>1.3783737</v>
      </c>
      <c r="J95" s="104" t="s">
        <v>329</v>
      </c>
      <c r="K95" s="113"/>
    </row>
    <row r="96" spans="1:11" x14ac:dyDescent="0.3">
      <c r="A96" s="103" t="s">
        <v>330</v>
      </c>
      <c r="B96" s="104" t="s">
        <v>357</v>
      </c>
      <c r="C96" s="103" t="s">
        <v>17</v>
      </c>
      <c r="D96" s="105">
        <v>1</v>
      </c>
      <c r="E96" s="106">
        <v>3.5</v>
      </c>
      <c r="F96" s="106">
        <v>2.7</v>
      </c>
      <c r="G96" s="106">
        <v>5.75</v>
      </c>
      <c r="H96" s="104" t="s">
        <v>358</v>
      </c>
      <c r="I96" s="106">
        <f>D96*E96*F96*G96</f>
        <v>54.337500000000006</v>
      </c>
      <c r="J96" s="104" t="s">
        <v>359</v>
      </c>
      <c r="K96" s="113"/>
    </row>
    <row r="97" spans="1:11" x14ac:dyDescent="0.3">
      <c r="A97" s="103" t="s">
        <v>334</v>
      </c>
      <c r="B97" s="104" t="s">
        <v>335</v>
      </c>
      <c r="C97" s="103" t="s">
        <v>17</v>
      </c>
      <c r="D97" s="105">
        <v>1</v>
      </c>
      <c r="E97" s="108"/>
      <c r="F97" s="106">
        <v>2.7</v>
      </c>
      <c r="G97" s="106">
        <v>5.75</v>
      </c>
      <c r="H97" s="104" t="s">
        <v>360</v>
      </c>
      <c r="I97" s="106">
        <f>D97*PI()*(F97/2)^2*G97</f>
        <v>32.921927514212541</v>
      </c>
      <c r="J97" s="104" t="s">
        <v>361</v>
      </c>
      <c r="K97" s="113"/>
    </row>
    <row r="98" spans="1:11" x14ac:dyDescent="0.3">
      <c r="A98" s="109" t="s">
        <v>279</v>
      </c>
      <c r="B98" s="110" t="s">
        <v>338</v>
      </c>
      <c r="C98" s="109"/>
      <c r="D98" s="111"/>
      <c r="E98" s="111"/>
      <c r="F98" s="111"/>
      <c r="G98" s="111"/>
      <c r="H98" s="110" t="s">
        <v>339</v>
      </c>
      <c r="I98" s="112">
        <v>0</v>
      </c>
      <c r="J98" s="110" t="s">
        <v>340</v>
      </c>
      <c r="K98" s="113"/>
    </row>
    <row r="99" spans="1:11" x14ac:dyDescent="0.3">
      <c r="A99" s="93" t="s">
        <v>100</v>
      </c>
      <c r="B99" s="94" t="s">
        <v>362</v>
      </c>
      <c r="C99" s="93" t="s">
        <v>17</v>
      </c>
      <c r="D99" s="95"/>
      <c r="E99" s="95"/>
      <c r="F99" s="95"/>
      <c r="G99" s="95"/>
      <c r="H99" s="94" t="s">
        <v>363</v>
      </c>
      <c r="I99" s="96">
        <f>SUM(I100:I103)</f>
        <v>128.85062399999998</v>
      </c>
      <c r="J99" s="94" t="s">
        <v>364</v>
      </c>
      <c r="K99" s="113"/>
    </row>
    <row r="100" spans="1:11" x14ac:dyDescent="0.3">
      <c r="A100" s="103" t="s">
        <v>21</v>
      </c>
      <c r="B100" s="104" t="s">
        <v>365</v>
      </c>
      <c r="C100" s="103" t="s">
        <v>17</v>
      </c>
      <c r="D100" s="105">
        <v>2</v>
      </c>
      <c r="E100" s="106">
        <v>12.097</v>
      </c>
      <c r="F100" s="106">
        <v>2.71</v>
      </c>
      <c r="G100" s="106">
        <v>1.6</v>
      </c>
      <c r="H100" s="104" t="s">
        <v>366</v>
      </c>
      <c r="I100" s="106">
        <f>D100*E100*F100*G100</f>
        <v>104.90518399999999</v>
      </c>
      <c r="J100" s="104" t="s">
        <v>367</v>
      </c>
      <c r="K100" s="113"/>
    </row>
    <row r="101" spans="1:11" x14ac:dyDescent="0.3">
      <c r="A101" s="103" t="s">
        <v>26</v>
      </c>
      <c r="B101" s="104" t="s">
        <v>368</v>
      </c>
      <c r="C101" s="103" t="s">
        <v>17</v>
      </c>
      <c r="D101" s="105">
        <v>4</v>
      </c>
      <c r="E101" s="106">
        <v>11.894</v>
      </c>
      <c r="F101" s="106">
        <v>0.85</v>
      </c>
      <c r="G101" s="106">
        <v>0.8</v>
      </c>
      <c r="H101" s="104" t="s">
        <v>369</v>
      </c>
      <c r="I101" s="106">
        <f>D101*E101*F101*G101/2</f>
        <v>16.175840000000001</v>
      </c>
      <c r="J101" s="104" t="s">
        <v>370</v>
      </c>
      <c r="K101" s="113"/>
    </row>
    <row r="102" spans="1:11" x14ac:dyDescent="0.3">
      <c r="A102" s="103" t="s">
        <v>31</v>
      </c>
      <c r="B102" s="104" t="s">
        <v>371</v>
      </c>
      <c r="C102" s="103" t="s">
        <v>17</v>
      </c>
      <c r="D102" s="105">
        <v>8</v>
      </c>
      <c r="E102" s="106">
        <v>1.6</v>
      </c>
      <c r="F102" s="106">
        <v>0.85</v>
      </c>
      <c r="G102" s="106">
        <v>0.15</v>
      </c>
      <c r="H102" s="104" t="s">
        <v>372</v>
      </c>
      <c r="I102" s="106">
        <f>D102*E102*F102*G102</f>
        <v>1.6320000000000001</v>
      </c>
      <c r="J102" s="104" t="s">
        <v>373</v>
      </c>
      <c r="K102" s="113"/>
    </row>
    <row r="103" spans="1:11" x14ac:dyDescent="0.3">
      <c r="A103" s="103" t="s">
        <v>36</v>
      </c>
      <c r="B103" s="104" t="s">
        <v>374</v>
      </c>
      <c r="C103" s="103" t="s">
        <v>17</v>
      </c>
      <c r="D103" s="105">
        <v>8</v>
      </c>
      <c r="E103" s="106">
        <v>1</v>
      </c>
      <c r="F103" s="106">
        <v>0.7</v>
      </c>
      <c r="G103" s="106">
        <v>1.0960000000000001</v>
      </c>
      <c r="H103" s="104" t="s">
        <v>375</v>
      </c>
      <c r="I103" s="106">
        <f>D103*E103*F103*G103</f>
        <v>6.1375999999999999</v>
      </c>
      <c r="J103" s="104" t="s">
        <v>376</v>
      </c>
      <c r="K103" s="113"/>
    </row>
    <row r="104" spans="1:11" x14ac:dyDescent="0.3">
      <c r="A104" s="93" t="s">
        <v>105</v>
      </c>
      <c r="B104" s="94" t="s">
        <v>377</v>
      </c>
      <c r="C104" s="93" t="s">
        <v>70</v>
      </c>
      <c r="D104" s="95"/>
      <c r="E104" s="95"/>
      <c r="F104" s="95"/>
      <c r="G104" s="95"/>
      <c r="H104" s="94" t="s">
        <v>378</v>
      </c>
      <c r="I104" s="96">
        <f>SUM(I105:I108)</f>
        <v>254.97850800000001</v>
      </c>
      <c r="J104" s="94" t="s">
        <v>379</v>
      </c>
      <c r="K104" s="113"/>
    </row>
    <row r="105" spans="1:11" x14ac:dyDescent="0.3">
      <c r="A105" s="103" t="s">
        <v>21</v>
      </c>
      <c r="B105" s="104" t="s">
        <v>380</v>
      </c>
      <c r="C105" s="103" t="s">
        <v>70</v>
      </c>
      <c r="D105" s="105">
        <v>4</v>
      </c>
      <c r="E105" s="106">
        <v>12.097</v>
      </c>
      <c r="F105" s="106">
        <v>1.6</v>
      </c>
      <c r="G105" s="108"/>
      <c r="H105" s="104" t="s">
        <v>381</v>
      </c>
      <c r="I105" s="106">
        <f>D105*E105*F105</f>
        <v>77.4208</v>
      </c>
      <c r="J105" s="104" t="s">
        <v>382</v>
      </c>
      <c r="K105" s="113"/>
    </row>
    <row r="106" spans="1:11" x14ac:dyDescent="0.3">
      <c r="A106" s="103" t="s">
        <v>26</v>
      </c>
      <c r="B106" s="104" t="s">
        <v>383</v>
      </c>
      <c r="C106" s="103" t="s">
        <v>70</v>
      </c>
      <c r="D106" s="105">
        <v>4</v>
      </c>
      <c r="E106" s="106">
        <v>2.71</v>
      </c>
      <c r="F106" s="106">
        <v>1.6</v>
      </c>
      <c r="G106" s="108"/>
      <c r="H106" s="104" t="s">
        <v>384</v>
      </c>
      <c r="I106" s="106">
        <f>D106*E106*F106</f>
        <v>17.344000000000001</v>
      </c>
      <c r="J106" s="104" t="s">
        <v>385</v>
      </c>
      <c r="K106" s="113"/>
    </row>
    <row r="107" spans="1:11" x14ac:dyDescent="0.3">
      <c r="A107" s="103" t="s">
        <v>31</v>
      </c>
      <c r="B107" s="104" t="s">
        <v>386</v>
      </c>
      <c r="C107" s="103" t="s">
        <v>70</v>
      </c>
      <c r="D107" s="105">
        <v>2</v>
      </c>
      <c r="E107" s="106">
        <v>20.22</v>
      </c>
      <c r="F107" s="108"/>
      <c r="G107" s="108"/>
      <c r="H107" s="104" t="s">
        <v>387</v>
      </c>
      <c r="I107" s="106">
        <f>D107*(E107-7.017146)</f>
        <v>26.405707999999997</v>
      </c>
      <c r="J107" s="104" t="s">
        <v>388</v>
      </c>
      <c r="K107" s="113"/>
    </row>
    <row r="108" spans="1:11" x14ac:dyDescent="0.3">
      <c r="A108" s="103" t="s">
        <v>36</v>
      </c>
      <c r="B108" s="104" t="s">
        <v>389</v>
      </c>
      <c r="C108" s="103" t="s">
        <v>70</v>
      </c>
      <c r="D108" s="105">
        <v>2</v>
      </c>
      <c r="E108" s="106">
        <v>66.903999999999996</v>
      </c>
      <c r="F108" s="108"/>
      <c r="G108" s="108"/>
      <c r="H108" s="104" t="s">
        <v>390</v>
      </c>
      <c r="I108" s="106">
        <f>D108*E108</f>
        <v>133.80799999999999</v>
      </c>
      <c r="J108" s="104" t="s">
        <v>391</v>
      </c>
      <c r="K108" s="113"/>
    </row>
    <row r="109" spans="1:11" x14ac:dyDescent="0.3">
      <c r="A109" s="93" t="s">
        <v>118</v>
      </c>
      <c r="B109" s="94" t="s">
        <v>392</v>
      </c>
      <c r="C109" s="93" t="s">
        <v>70</v>
      </c>
      <c r="D109" s="95"/>
      <c r="E109" s="95"/>
      <c r="F109" s="95"/>
      <c r="G109" s="95"/>
      <c r="H109" s="94" t="s">
        <v>393</v>
      </c>
      <c r="I109" s="96">
        <f>I110+I114</f>
        <v>651.7283000000001</v>
      </c>
      <c r="J109" s="94" t="s">
        <v>394</v>
      </c>
      <c r="K109" s="113"/>
    </row>
    <row r="110" spans="1:11" x14ac:dyDescent="0.3">
      <c r="A110" s="98" t="s">
        <v>21</v>
      </c>
      <c r="B110" s="99" t="s">
        <v>395</v>
      </c>
      <c r="C110" s="98" t="s">
        <v>70</v>
      </c>
      <c r="D110" s="100"/>
      <c r="E110" s="100"/>
      <c r="F110" s="100"/>
      <c r="G110" s="100"/>
      <c r="H110" s="99" t="s">
        <v>396</v>
      </c>
      <c r="I110" s="101">
        <f>SUM(I111:I113)</f>
        <v>309.60773500000005</v>
      </c>
      <c r="J110" s="99" t="s">
        <v>397</v>
      </c>
      <c r="K110" s="113"/>
    </row>
    <row r="111" spans="1:11" x14ac:dyDescent="0.3">
      <c r="A111" s="103" t="s">
        <v>398</v>
      </c>
      <c r="B111" s="104" t="s">
        <v>399</v>
      </c>
      <c r="C111" s="103" t="s">
        <v>70</v>
      </c>
      <c r="D111" s="105">
        <v>1</v>
      </c>
      <c r="E111" s="106">
        <v>11.712389</v>
      </c>
      <c r="F111" s="106">
        <v>10</v>
      </c>
      <c r="G111" s="108"/>
      <c r="H111" s="104" t="s">
        <v>400</v>
      </c>
      <c r="I111" s="106">
        <f>D111*E111*F111</f>
        <v>117.12389</v>
      </c>
      <c r="J111" s="104" t="s">
        <v>401</v>
      </c>
    </row>
    <row r="112" spans="1:11" x14ac:dyDescent="0.3">
      <c r="A112" s="103" t="s">
        <v>402</v>
      </c>
      <c r="B112" s="104" t="s">
        <v>403</v>
      </c>
      <c r="C112" s="103" t="s">
        <v>70</v>
      </c>
      <c r="D112" s="105">
        <v>1</v>
      </c>
      <c r="E112" s="106">
        <v>13.597345000000001</v>
      </c>
      <c r="F112" s="106">
        <v>10</v>
      </c>
      <c r="G112" s="108"/>
      <c r="H112" s="104" t="s">
        <v>404</v>
      </c>
      <c r="I112" s="106">
        <f>D112*E112*F112</f>
        <v>135.97345000000001</v>
      </c>
      <c r="J112" s="104" t="s">
        <v>405</v>
      </c>
    </row>
    <row r="113" spans="1:10" x14ac:dyDescent="0.3">
      <c r="A113" s="103" t="s">
        <v>406</v>
      </c>
      <c r="B113" s="104" t="s">
        <v>407</v>
      </c>
      <c r="C113" s="103" t="s">
        <v>70</v>
      </c>
      <c r="D113" s="105">
        <v>1</v>
      </c>
      <c r="E113" s="106">
        <v>15.4823</v>
      </c>
      <c r="F113" s="106">
        <v>3.65</v>
      </c>
      <c r="G113" s="108"/>
      <c r="H113" s="104" t="s">
        <v>408</v>
      </c>
      <c r="I113" s="106">
        <f>D113*E113*F113</f>
        <v>56.510395000000003</v>
      </c>
      <c r="J113" s="104" t="s">
        <v>409</v>
      </c>
    </row>
    <row r="114" spans="1:10" x14ac:dyDescent="0.3">
      <c r="A114" s="98" t="s">
        <v>26</v>
      </c>
      <c r="B114" s="99" t="s">
        <v>410</v>
      </c>
      <c r="C114" s="98" t="s">
        <v>70</v>
      </c>
      <c r="D114" s="100"/>
      <c r="E114" s="100"/>
      <c r="F114" s="100"/>
      <c r="G114" s="100"/>
      <c r="H114" s="99" t="s">
        <v>411</v>
      </c>
      <c r="I114" s="101">
        <f>SUM(I115:I117)</f>
        <v>342.12056500000006</v>
      </c>
      <c r="J114" s="99" t="s">
        <v>412</v>
      </c>
    </row>
    <row r="115" spans="1:10" x14ac:dyDescent="0.3">
      <c r="A115" s="103" t="s">
        <v>398</v>
      </c>
      <c r="B115" s="104" t="s">
        <v>399</v>
      </c>
      <c r="C115" s="103" t="s">
        <v>70</v>
      </c>
      <c r="D115" s="105">
        <v>1</v>
      </c>
      <c r="E115" s="106">
        <v>11.712389</v>
      </c>
      <c r="F115" s="106">
        <v>10</v>
      </c>
      <c r="G115" s="108"/>
      <c r="H115" s="104" t="s">
        <v>413</v>
      </c>
      <c r="I115" s="106">
        <f>D115*E115*F115</f>
        <v>117.12389</v>
      </c>
      <c r="J115" s="104" t="s">
        <v>414</v>
      </c>
    </row>
    <row r="116" spans="1:10" x14ac:dyDescent="0.3">
      <c r="A116" s="103" t="s">
        <v>402</v>
      </c>
      <c r="B116" s="104" t="s">
        <v>403</v>
      </c>
      <c r="C116" s="103" t="s">
        <v>70</v>
      </c>
      <c r="D116" s="105">
        <v>1</v>
      </c>
      <c r="E116" s="106">
        <v>13.597345000000001</v>
      </c>
      <c r="F116" s="106">
        <v>10</v>
      </c>
      <c r="G116" s="108"/>
      <c r="H116" s="104" t="s">
        <v>415</v>
      </c>
      <c r="I116" s="106">
        <f>D116*E116*F116</f>
        <v>135.97345000000001</v>
      </c>
      <c r="J116" s="104" t="s">
        <v>416</v>
      </c>
    </row>
    <row r="117" spans="1:10" x14ac:dyDescent="0.3">
      <c r="A117" s="103" t="s">
        <v>406</v>
      </c>
      <c r="B117" s="104" t="s">
        <v>417</v>
      </c>
      <c r="C117" s="103" t="s">
        <v>70</v>
      </c>
      <c r="D117" s="105">
        <v>1</v>
      </c>
      <c r="E117" s="106">
        <v>15.4823</v>
      </c>
      <c r="F117" s="106">
        <v>5.75</v>
      </c>
      <c r="G117" s="108"/>
      <c r="H117" s="104" t="s">
        <v>418</v>
      </c>
      <c r="I117" s="106">
        <f>D117*E117*F117</f>
        <v>89.023224999999996</v>
      </c>
      <c r="J117" s="104" t="s">
        <v>419</v>
      </c>
    </row>
    <row r="118" spans="1:10" x14ac:dyDescent="0.3">
      <c r="A118" s="114"/>
      <c r="B118" s="115" t="s">
        <v>420</v>
      </c>
      <c r="C118" s="114" t="s">
        <v>17</v>
      </c>
      <c r="D118" s="116"/>
      <c r="E118" s="116"/>
      <c r="F118" s="116"/>
      <c r="G118" s="116"/>
      <c r="H118" s="115" t="s">
        <v>421</v>
      </c>
      <c r="I118" s="117">
        <f>I6+I15+I22+I26+I30+I34+I40+I44+I47+I50+I68+I74+I99</f>
        <v>2361.7010524778457</v>
      </c>
      <c r="J118" s="115" t="s">
        <v>422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D6" sqref="D6"/>
    </sheetView>
  </sheetViews>
  <sheetFormatPr defaultRowHeight="14" x14ac:dyDescent="0.3"/>
  <cols>
    <col min="1" max="1" width="6" customWidth="1"/>
    <col min="2" max="2" width="46" customWidth="1"/>
    <col min="3" max="3" width="10" customWidth="1"/>
    <col min="4" max="7" width="16" customWidth="1"/>
    <col min="8" max="8" width="22" customWidth="1"/>
    <col min="9" max="9" width="20" customWidth="1"/>
    <col min="10" max="10" width="28" customWidth="1"/>
  </cols>
  <sheetData>
    <row r="1" spans="1:10" ht="14.5" customHeight="1" x14ac:dyDescent="0.35">
      <c r="A1" s="1" t="s">
        <v>486</v>
      </c>
    </row>
    <row r="2" spans="1:10" ht="19.5" customHeight="1" x14ac:dyDescent="0.45">
      <c r="A2" s="2" t="s">
        <v>487</v>
      </c>
    </row>
    <row r="3" spans="1:10" ht="14.5" customHeight="1" x14ac:dyDescent="0.35">
      <c r="A3" s="1" t="s">
        <v>488</v>
      </c>
    </row>
    <row r="5" spans="1:10" x14ac:dyDescent="0.3">
      <c r="A5" s="3" t="s">
        <v>2</v>
      </c>
      <c r="B5" s="3" t="s">
        <v>489</v>
      </c>
      <c r="C5" s="3" t="s">
        <v>490</v>
      </c>
      <c r="D5" s="3" t="s">
        <v>436</v>
      </c>
      <c r="E5" s="3" t="s">
        <v>437</v>
      </c>
      <c r="F5" s="3" t="s">
        <v>491</v>
      </c>
      <c r="G5" s="3" t="s">
        <v>492</v>
      </c>
      <c r="H5" s="3" t="s">
        <v>493</v>
      </c>
      <c r="I5" s="3" t="s">
        <v>441</v>
      </c>
      <c r="J5" s="3" t="s">
        <v>494</v>
      </c>
    </row>
    <row r="6" spans="1:10" x14ac:dyDescent="0.3">
      <c r="A6" s="4">
        <v>1</v>
      </c>
      <c r="B6" s="5" t="s">
        <v>495</v>
      </c>
      <c r="C6" s="4" t="s">
        <v>17</v>
      </c>
      <c r="D6" s="6">
        <f>_xlfn.XLOOKUP("*TỔNG BÊ TÔNG MỐ C30*", '01_MO_M1_M2'!$B:$B, '01_MO_M1_M2'!$D:$D, 0, 2)</f>
        <v>75.115293990118474</v>
      </c>
      <c r="E6" s="6">
        <f>_xlfn.XLOOKUP("*TỔNG BÊ TÔNG MỐ C30*", '01_MO_M1_M2'!$B:$B, '01_MO_M1_M2'!$E:$E, 0, 2)</f>
        <v>301.32795287694307</v>
      </c>
      <c r="F6" s="6">
        <f>'02_TRU_T1'!D20</f>
        <v>483.59018965621215</v>
      </c>
      <c r="G6" s="6">
        <f>'02_TRU_T2'!D20</f>
        <v>515.4588501396637</v>
      </c>
      <c r="H6" s="6">
        <f>_xlfn.XLOOKUP("*TỔNG CỘNG 26 CỌC*", '03_COC_D1200'!$B:$B, '03_COC_D1200'!$H:$H, 0, 2)</f>
        <v>1006.54</v>
      </c>
      <c r="I6" s="6">
        <f t="shared" ref="I6:I13" si="0">SUM(D6:H6)</f>
        <v>2382.0322866629372</v>
      </c>
      <c r="J6" s="6" t="s">
        <v>496</v>
      </c>
    </row>
    <row r="7" spans="1:10" x14ac:dyDescent="0.3">
      <c r="A7" s="7">
        <v>2</v>
      </c>
      <c r="B7" s="8" t="s">
        <v>497</v>
      </c>
      <c r="C7" s="7" t="s">
        <v>17</v>
      </c>
      <c r="D7" s="9">
        <f>_xlfn.XLOOKUP("*Bê tông đệm C10*", '01_MO_M1_M2'!$B:$B, '01_MO_M1_M2'!$D:$D, 0, 2)</f>
        <v>2.4580079934123029</v>
      </c>
      <c r="E7" s="9">
        <f>_xlfn.XLOOKUP("*Bê tông đệm C10*", '01_MO_M1_M2'!$B:$B, '01_MO_M1_M2'!$E:$E, 0, 2)</f>
        <v>7.0916186512953718</v>
      </c>
      <c r="F7" s="9">
        <f>'02_TRU_T1'!D7</f>
        <v>8.7712213157661392</v>
      </c>
      <c r="G7" s="9">
        <f>'02_TRU_T2'!D7</f>
        <v>8.7712213157661392</v>
      </c>
      <c r="H7" s="9">
        <v>0</v>
      </c>
      <c r="I7" s="9">
        <f t="shared" si="0"/>
        <v>27.092069276239954</v>
      </c>
      <c r="J7" s="9" t="s">
        <v>498</v>
      </c>
    </row>
    <row r="8" spans="1:10" x14ac:dyDescent="0.3">
      <c r="A8" s="7">
        <v>3</v>
      </c>
      <c r="B8" s="8" t="s">
        <v>499</v>
      </c>
      <c r="C8" s="7" t="s">
        <v>70</v>
      </c>
      <c r="D8" s="9">
        <f>_xlfn.XLOOKUP("*Ván khuôn kết cấu*", '01_MO_M1_M2'!$B:$B, '01_MO_M1_M2'!$D:$D, 0, 2)</f>
        <v>129.75614000000002</v>
      </c>
      <c r="E8" s="9">
        <f>_xlfn.XLOOKUP("*Ván khuôn kết cấu*", '01_MO_M1_M2'!$B:$B, '01_MO_M1_M2'!$E:$E, 0, 2)</f>
        <v>371.59682000000004</v>
      </c>
      <c r="F8" s="9">
        <f>'02_TRU_T1'!D21</f>
        <v>515.49698899999999</v>
      </c>
      <c r="G8" s="9">
        <f>'02_TRU_T2'!D21</f>
        <v>548.00981899999999</v>
      </c>
      <c r="H8" s="9">
        <v>0</v>
      </c>
      <c r="I8" s="9">
        <f t="shared" si="0"/>
        <v>1564.859768</v>
      </c>
      <c r="J8" s="9" t="s">
        <v>500</v>
      </c>
    </row>
    <row r="9" spans="1:10" x14ac:dyDescent="0.3">
      <c r="A9" s="7">
        <v>4</v>
      </c>
      <c r="B9" s="8" t="s">
        <v>501</v>
      </c>
      <c r="C9" s="7" t="s">
        <v>70</v>
      </c>
      <c r="D9" s="9">
        <f>_xlfn.XLOOKUP("*Ván khuôn để lại*", '01_MO_M1_M2'!$B:$B, '01_MO_M1_M2'!$D:$D, 0, 2)</f>
        <v>30.12</v>
      </c>
      <c r="E9" s="9">
        <f>_xlfn.XLOOKUP("*Ván khuôn để lại*", '01_MO_M1_M2'!$B:$B, '01_MO_M1_M2'!$E:$E, 0, 2)</f>
        <v>46.84</v>
      </c>
      <c r="F9" s="9">
        <v>0</v>
      </c>
      <c r="G9" s="9">
        <v>0</v>
      </c>
      <c r="H9" s="9">
        <v>0</v>
      </c>
      <c r="I9" s="9">
        <f t="shared" si="0"/>
        <v>76.960000000000008</v>
      </c>
      <c r="J9" s="9" t="s">
        <v>502</v>
      </c>
    </row>
    <row r="10" spans="1:10" x14ac:dyDescent="0.3">
      <c r="A10" s="7">
        <v>5</v>
      </c>
      <c r="B10" s="8" t="s">
        <v>503</v>
      </c>
      <c r="C10" s="7" t="s">
        <v>447</v>
      </c>
      <c r="D10" s="9">
        <f>_xlfn.XLOOKUP("*D &lt;= 10mm*", '01_MO_M1_M2'!$B:$B, '01_MO_M1_M2'!$D:$D, 0, 2)</f>
        <v>44.33</v>
      </c>
      <c r="E10" s="9">
        <f>_xlfn.XLOOKUP("*D &lt;= 10mm*", '01_MO_M1_M2'!$B:$B, '01_MO_M1_M2'!$E:$E, 0, 2)</f>
        <v>44.33</v>
      </c>
      <c r="F10" s="9">
        <f>'02_TRU_T1'!D23</f>
        <v>0</v>
      </c>
      <c r="G10" s="9">
        <f>'02_TRU_T2'!D23</f>
        <v>0</v>
      </c>
      <c r="H10" s="9">
        <v>0</v>
      </c>
      <c r="I10" s="9">
        <f t="shared" si="0"/>
        <v>88.66</v>
      </c>
      <c r="J10" s="9" t="s">
        <v>504</v>
      </c>
    </row>
    <row r="11" spans="1:10" x14ac:dyDescent="0.3">
      <c r="A11" s="7">
        <v>6</v>
      </c>
      <c r="B11" s="8" t="s">
        <v>505</v>
      </c>
      <c r="C11" s="7" t="s">
        <v>447</v>
      </c>
      <c r="D11" s="9">
        <f>_xlfn.XLOOKUP("*10 &lt; D &lt;= 18mm*", '01_MO_M1_M2'!$B:$B, '01_MO_M1_M2'!$D:$D, 0, 2)</f>
        <v>5828.41</v>
      </c>
      <c r="E11" s="9">
        <f>_xlfn.XLOOKUP("*10 &lt; D &lt;= 18mm*", '01_MO_M1_M2'!$B:$B, '01_MO_M1_M2'!$E:$E, 0, 2)</f>
        <v>11918.02</v>
      </c>
      <c r="F11" s="9">
        <f>'02_TRU_T1'!D24</f>
        <v>6256.7976479999998</v>
      </c>
      <c r="G11" s="9">
        <f>'02_TRU_T2'!D24</f>
        <v>7269.767648</v>
      </c>
      <c r="H11" s="9">
        <v>0</v>
      </c>
      <c r="I11" s="9">
        <f t="shared" si="0"/>
        <v>31272.995296000001</v>
      </c>
      <c r="J11" s="9" t="s">
        <v>506</v>
      </c>
    </row>
    <row r="12" spans="1:10" x14ac:dyDescent="0.3">
      <c r="A12" s="7">
        <v>7</v>
      </c>
      <c r="B12" s="8" t="s">
        <v>507</v>
      </c>
      <c r="C12" s="7" t="s">
        <v>447</v>
      </c>
      <c r="D12" s="9">
        <f>_xlfn.XLOOKUP("*D &gt; 18mm*", '01_MO_M1_M2'!$B:$B, '01_MO_M1_M2'!$D:$D, 0, 2)</f>
        <v>2085.8200000000002</v>
      </c>
      <c r="E12" s="9">
        <f>_xlfn.XLOOKUP("*D &gt; 18mm*", '01_MO_M1_M2'!$B:$B, '01_MO_M1_M2'!$E:$E, 0, 2)</f>
        <v>7686.38</v>
      </c>
      <c r="F12" s="9">
        <f>'02_TRU_T1'!D25</f>
        <v>76701.474212000001</v>
      </c>
      <c r="G12" s="9">
        <f>'02_TRU_T2'!D25</f>
        <v>77974.174612000003</v>
      </c>
      <c r="H12" s="9">
        <f>_xlfn.XLOOKUP("*TỔNG CỘNG 26 CỌC*", '03_COC_D1200'!$B:$B, '03_COC_D1200'!$I:$I, 0, 2)</f>
        <v>47109.48</v>
      </c>
      <c r="I12" s="9">
        <f t="shared" si="0"/>
        <v>211557.328824</v>
      </c>
      <c r="J12" s="9" t="s">
        <v>508</v>
      </c>
    </row>
    <row r="13" spans="1:10" x14ac:dyDescent="0.3">
      <c r="A13" s="10">
        <v>8</v>
      </c>
      <c r="B13" s="11" t="s">
        <v>509</v>
      </c>
      <c r="C13" s="10" t="s">
        <v>447</v>
      </c>
      <c r="D13" s="12">
        <f>SUM(D10:D12)</f>
        <v>7958.5599999999995</v>
      </c>
      <c r="E13" s="12">
        <f>SUM(E10:E12)</f>
        <v>19648.73</v>
      </c>
      <c r="F13" s="12">
        <f>SUM(F10:F12)</f>
        <v>82958.271860000008</v>
      </c>
      <c r="G13" s="12">
        <f>SUM(G10:G12)</f>
        <v>85243.942259999996</v>
      </c>
      <c r="H13" s="12">
        <f>H12</f>
        <v>47109.48</v>
      </c>
      <c r="I13" s="12">
        <f t="shared" si="0"/>
        <v>242918.98412000001</v>
      </c>
      <c r="J13" s="12" t="s">
        <v>510</v>
      </c>
    </row>
    <row r="14" spans="1:10" x14ac:dyDescent="0.3">
      <c r="A14" s="10">
        <v>9</v>
      </c>
      <c r="B14" s="11" t="s">
        <v>454</v>
      </c>
      <c r="C14" s="10" t="s">
        <v>455</v>
      </c>
      <c r="D14" s="13">
        <f t="shared" ref="D14:I14" si="1">D13/1000</f>
        <v>7.9585599999999994</v>
      </c>
      <c r="E14" s="13">
        <f t="shared" si="1"/>
        <v>19.64873</v>
      </c>
      <c r="F14" s="13">
        <f t="shared" si="1"/>
        <v>82.958271860000011</v>
      </c>
      <c r="G14" s="13">
        <f t="shared" si="1"/>
        <v>85.243942259999997</v>
      </c>
      <c r="H14" s="13">
        <f t="shared" si="1"/>
        <v>47.109480000000005</v>
      </c>
      <c r="I14" s="13">
        <f t="shared" si="1"/>
        <v>242.91898412</v>
      </c>
      <c r="J14" s="13" t="s">
        <v>511</v>
      </c>
    </row>
    <row r="15" spans="1:10" x14ac:dyDescent="0.3">
      <c r="A15" s="7">
        <v>10</v>
      </c>
      <c r="B15" s="8" t="s">
        <v>512</v>
      </c>
      <c r="C15" s="7" t="s">
        <v>70</v>
      </c>
      <c r="D15" s="9">
        <f>_xlfn.XLOOKUP("*Quét bitum*", '01_MO_M1_M2'!$B:$B, '01_MO_M1_M2'!$D:$D, 0, 2)</f>
        <v>63.094119999999997</v>
      </c>
      <c r="E15" s="9">
        <f>_xlfn.XLOOKUP("*Quét bitum*", '01_MO_M1_M2'!$B:$B, '01_MO_M1_M2'!$E:$E, 0, 2)</f>
        <v>255.18</v>
      </c>
      <c r="F15" s="9">
        <f>'02_TRU_T1'!D9</f>
        <v>156.02444700000001</v>
      </c>
      <c r="G15" s="9">
        <f>'02_TRU_T2'!D9</f>
        <v>156.02444700000001</v>
      </c>
      <c r="H15" s="9">
        <v>0</v>
      </c>
      <c r="I15" s="9">
        <f>SUM(D15:H15)</f>
        <v>630.32301400000006</v>
      </c>
      <c r="J15" s="9" t="s">
        <v>513</v>
      </c>
    </row>
    <row r="16" spans="1:10" x14ac:dyDescent="0.3">
      <c r="A16" s="7">
        <v>11</v>
      </c>
      <c r="B16" s="8" t="s">
        <v>514</v>
      </c>
      <c r="C16" s="7" t="s">
        <v>43</v>
      </c>
      <c r="D16" s="14">
        <v>0</v>
      </c>
      <c r="E16" s="14">
        <v>0</v>
      </c>
      <c r="F16" s="14">
        <v>0</v>
      </c>
      <c r="G16" s="14">
        <v>0</v>
      </c>
      <c r="H16" s="14">
        <f>'03_COC_D1200'!J10</f>
        <v>0</v>
      </c>
      <c r="I16" s="14">
        <f>H16</f>
        <v>0</v>
      </c>
      <c r="J16" s="14" t="s">
        <v>515</v>
      </c>
    </row>
    <row r="17" spans="1:10" x14ac:dyDescent="0.3">
      <c r="A17" s="7">
        <v>12</v>
      </c>
      <c r="B17" s="8" t="s">
        <v>516</v>
      </c>
      <c r="C17" s="7" t="s">
        <v>43</v>
      </c>
      <c r="D17" s="14">
        <v>0</v>
      </c>
      <c r="E17" s="14">
        <v>0</v>
      </c>
      <c r="F17" s="14">
        <v>0</v>
      </c>
      <c r="G17" s="14">
        <v>0</v>
      </c>
      <c r="H17" s="14">
        <f>'03_COC_D1200'!K10</f>
        <v>0</v>
      </c>
      <c r="I17" s="14">
        <f>H17</f>
        <v>0</v>
      </c>
      <c r="J17" s="14" t="s">
        <v>517</v>
      </c>
    </row>
    <row r="18" spans="1:10" x14ac:dyDescent="0.3">
      <c r="A18" s="7">
        <v>13</v>
      </c>
      <c r="B18" s="8" t="s">
        <v>518</v>
      </c>
      <c r="C18" s="7" t="s">
        <v>447</v>
      </c>
      <c r="D18" s="9">
        <f>'01_MO_M1_M2'!D18</f>
        <v>53.27</v>
      </c>
      <c r="E18" s="9">
        <f>'01_MO_M1_M2'!E18</f>
        <v>79.900000000000006</v>
      </c>
      <c r="F18" s="9">
        <f>'02_TRU_T1'!D16</f>
        <v>49.24</v>
      </c>
      <c r="G18" s="9">
        <f>'02_TRU_T2'!D16</f>
        <v>49.24</v>
      </c>
      <c r="H18" s="9">
        <v>0</v>
      </c>
      <c r="I18" s="9">
        <f>SUM(D18:H18)</f>
        <v>231.65000000000003</v>
      </c>
      <c r="J18" s="9" t="s">
        <v>519</v>
      </c>
    </row>
    <row r="19" spans="1:10" x14ac:dyDescent="0.3">
      <c r="A19" s="7">
        <v>14</v>
      </c>
      <c r="B19" s="8" t="s">
        <v>520</v>
      </c>
      <c r="C19" s="7" t="s">
        <v>447</v>
      </c>
      <c r="D19" s="9">
        <f>'01_MO_M1_M2'!D19</f>
        <v>9.2100000000000009</v>
      </c>
      <c r="E19" s="9">
        <f>'01_MO_M1_M2'!E19</f>
        <v>9.2100000000000009</v>
      </c>
      <c r="F19" s="9">
        <f>'02_TRU_T1'!D17</f>
        <v>29.09</v>
      </c>
      <c r="G19" s="9">
        <f>'02_TRU_T2'!D17</f>
        <v>15.66</v>
      </c>
      <c r="H19" s="9">
        <v>0</v>
      </c>
      <c r="I19" s="9">
        <f>SUM(D19:H19)</f>
        <v>63.17</v>
      </c>
      <c r="J19" s="9" t="s">
        <v>521</v>
      </c>
    </row>
    <row r="20" spans="1:10" x14ac:dyDescent="0.3">
      <c r="A20" s="7">
        <v>15</v>
      </c>
      <c r="B20" s="8" t="s">
        <v>522</v>
      </c>
      <c r="C20" s="7" t="s">
        <v>523</v>
      </c>
      <c r="D20" s="14">
        <v>70</v>
      </c>
      <c r="E20" s="14">
        <v>70</v>
      </c>
      <c r="F20" s="14">
        <v>0</v>
      </c>
      <c r="G20" s="14">
        <v>0</v>
      </c>
      <c r="H20" s="14">
        <v>0</v>
      </c>
      <c r="I20" s="14">
        <f>SUM(D20:H20)</f>
        <v>140</v>
      </c>
      <c r="J20" s="14" t="s">
        <v>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F9" sqref="F9"/>
    </sheetView>
  </sheetViews>
  <sheetFormatPr defaultRowHeight="14" x14ac:dyDescent="0.3"/>
  <cols>
    <col min="1" max="1" width="6" customWidth="1"/>
    <col min="2" max="2" width="42" customWidth="1"/>
    <col min="3" max="3" width="10" customWidth="1"/>
    <col min="4" max="5" width="16" customWidth="1"/>
    <col min="6" max="6" width="18" customWidth="1"/>
    <col min="7" max="7" width="38" customWidth="1"/>
  </cols>
  <sheetData>
    <row r="1" spans="1:7" ht="19.5" customHeight="1" x14ac:dyDescent="0.45">
      <c r="A1" s="2" t="s">
        <v>525</v>
      </c>
    </row>
    <row r="2" spans="1:7" ht="14.5" customHeight="1" x14ac:dyDescent="0.35">
      <c r="A2" s="1" t="s">
        <v>526</v>
      </c>
    </row>
    <row r="4" spans="1:7" x14ac:dyDescent="0.3">
      <c r="A4" s="3" t="s">
        <v>2</v>
      </c>
      <c r="B4" s="3" t="s">
        <v>527</v>
      </c>
      <c r="C4" s="3" t="s">
        <v>490</v>
      </c>
      <c r="D4" s="3" t="s">
        <v>436</v>
      </c>
      <c r="E4" s="3" t="s">
        <v>437</v>
      </c>
      <c r="F4" s="3" t="s">
        <v>528</v>
      </c>
      <c r="G4" s="3" t="s">
        <v>529</v>
      </c>
    </row>
    <row r="5" spans="1:7" ht="14.5" customHeight="1" x14ac:dyDescent="0.3">
      <c r="A5" s="60" t="s">
        <v>15</v>
      </c>
      <c r="B5" s="61" t="s">
        <v>530</v>
      </c>
      <c r="C5" s="60"/>
      <c r="D5" s="60"/>
      <c r="E5" s="60"/>
      <c r="F5" s="60"/>
      <c r="G5" s="60" t="s">
        <v>531</v>
      </c>
    </row>
    <row r="6" spans="1:7" x14ac:dyDescent="0.3">
      <c r="A6" s="62">
        <v>1</v>
      </c>
      <c r="B6" s="63" t="s">
        <v>532</v>
      </c>
      <c r="C6" s="62" t="s">
        <v>17</v>
      </c>
      <c r="D6" s="64">
        <v>0</v>
      </c>
      <c r="E6" s="64">
        <f>'00_DIEN_GIAI_HINH_HOC_CAD'!I15</f>
        <v>148.99247797694306</v>
      </c>
      <c r="F6" s="64">
        <f t="shared" ref="F6:F12" si="0">D6+E6</f>
        <v>148.99247797694306</v>
      </c>
      <c r="G6" s="65" t="s">
        <v>533</v>
      </c>
    </row>
    <row r="7" spans="1:7" x14ac:dyDescent="0.3">
      <c r="A7" s="62">
        <v>2</v>
      </c>
      <c r="B7" s="63" t="s">
        <v>534</v>
      </c>
      <c r="C7" s="62" t="s">
        <v>17</v>
      </c>
      <c r="D7" s="64">
        <f>'00_DIEN_GIAI_HINH_HOC_CAD'!I40</f>
        <v>52.961501990118457</v>
      </c>
      <c r="E7" s="64">
        <f>'00_DIEN_GIAI_HINH_HOC_CAD'!I22</f>
        <v>115.9960284</v>
      </c>
      <c r="F7" s="64">
        <f t="shared" si="0"/>
        <v>168.95753039011845</v>
      </c>
      <c r="G7" s="65" t="s">
        <v>535</v>
      </c>
    </row>
    <row r="8" spans="1:7" x14ac:dyDescent="0.3">
      <c r="A8" s="62">
        <v>3</v>
      </c>
      <c r="B8" s="63" t="s">
        <v>536</v>
      </c>
      <c r="C8" s="62" t="s">
        <v>17</v>
      </c>
      <c r="D8" s="64">
        <f>'00_DIEN_GIAI_HINH_HOC_CAD'!I44</f>
        <v>14.224629999999999</v>
      </c>
      <c r="E8" s="64">
        <f>'00_DIEN_GIAI_HINH_HOC_CAD'!I26</f>
        <v>14.431046499999999</v>
      </c>
      <c r="F8" s="64">
        <f t="shared" si="0"/>
        <v>28.655676499999998</v>
      </c>
      <c r="G8" s="65" t="s">
        <v>537</v>
      </c>
    </row>
    <row r="9" spans="1:7" x14ac:dyDescent="0.3">
      <c r="A9" s="62">
        <v>4</v>
      </c>
      <c r="B9" s="63" t="s">
        <v>538</v>
      </c>
      <c r="C9" s="62" t="s">
        <v>17</v>
      </c>
      <c r="D9" s="64">
        <f>'00_DIEN_GIAI_HINH_HOC_CAD'!I47</f>
        <v>3.44625</v>
      </c>
      <c r="E9" s="64">
        <f>'00_DIEN_GIAI_HINH_HOC_CAD'!I30</f>
        <v>16.806999999999999</v>
      </c>
      <c r="F9" s="64">
        <f t="shared" si="0"/>
        <v>20.253249999999998</v>
      </c>
      <c r="G9" s="65" t="s">
        <v>539</v>
      </c>
    </row>
    <row r="10" spans="1:7" x14ac:dyDescent="0.3">
      <c r="A10" s="62">
        <v>5</v>
      </c>
      <c r="B10" s="63" t="s">
        <v>540</v>
      </c>
      <c r="C10" s="62" t="s">
        <v>17</v>
      </c>
      <c r="D10" s="64">
        <f>'00_DIEN_GIAI_HINH_HOC_CAD'!I53</f>
        <v>2.656012</v>
      </c>
      <c r="E10" s="64">
        <f>'00_DIEN_GIAI_HINH_HOC_CAD'!I37</f>
        <v>3.3720000000000003</v>
      </c>
      <c r="F10" s="64">
        <f t="shared" si="0"/>
        <v>6.0280120000000004</v>
      </c>
      <c r="G10" s="65" t="s">
        <v>541</v>
      </c>
    </row>
    <row r="11" spans="1:7" x14ac:dyDescent="0.3">
      <c r="A11" s="62">
        <v>6</v>
      </c>
      <c r="B11" s="63" t="s">
        <v>542</v>
      </c>
      <c r="C11" s="62" t="s">
        <v>17</v>
      </c>
      <c r="D11" s="64">
        <f>'00_DIEN_GIAI_HINH_HOC_CAD'!I52</f>
        <v>0.29249999999999998</v>
      </c>
      <c r="E11" s="64">
        <f>'00_DIEN_GIAI_HINH_HOC_CAD'!I36</f>
        <v>0.19500000000000001</v>
      </c>
      <c r="F11" s="64">
        <f t="shared" si="0"/>
        <v>0.48749999999999999</v>
      </c>
      <c r="G11" s="65" t="s">
        <v>543</v>
      </c>
    </row>
    <row r="12" spans="1:7" x14ac:dyDescent="0.3">
      <c r="A12" s="62">
        <v>7</v>
      </c>
      <c r="B12" s="63" t="s">
        <v>544</v>
      </c>
      <c r="C12" s="62" t="s">
        <v>17</v>
      </c>
      <c r="D12" s="64">
        <f>'00_DIEN_GIAI_HINH_HOC_CAD'!I51</f>
        <v>1.5344</v>
      </c>
      <c r="E12" s="64">
        <f>'00_DIEN_GIAI_HINH_HOC_CAD'!I35</f>
        <v>1.5344</v>
      </c>
      <c r="F12" s="64">
        <f t="shared" si="0"/>
        <v>3.0688</v>
      </c>
      <c r="G12" s="65" t="s">
        <v>545</v>
      </c>
    </row>
    <row r="13" spans="1:7" x14ac:dyDescent="0.3">
      <c r="A13" s="66" t="s">
        <v>451</v>
      </c>
      <c r="B13" s="67" t="s">
        <v>546</v>
      </c>
      <c r="C13" s="66" t="s">
        <v>17</v>
      </c>
      <c r="D13" s="68">
        <f>SUM(D6:D12)</f>
        <v>75.115293990118474</v>
      </c>
      <c r="E13" s="68">
        <f>SUM(E6:E12)</f>
        <v>301.32795287694307</v>
      </c>
      <c r="F13" s="68">
        <f>SUM(F6:F12)</f>
        <v>376.44324686706153</v>
      </c>
      <c r="G13" s="69" t="s">
        <v>547</v>
      </c>
    </row>
    <row r="14" spans="1:7" x14ac:dyDescent="0.3">
      <c r="A14" s="62">
        <v>8</v>
      </c>
      <c r="B14" s="63" t="s">
        <v>443</v>
      </c>
      <c r="C14" s="62" t="s">
        <v>17</v>
      </c>
      <c r="D14" s="64">
        <f>'00_DIEN_GIAI_HINH_HOC_CAD'!I54</f>
        <v>2.4580079934123029</v>
      </c>
      <c r="E14" s="64">
        <f>'00_DIEN_GIAI_HINH_HOC_CAD'!I19</f>
        <v>7.0916186512953718</v>
      </c>
      <c r="F14" s="64">
        <f t="shared" ref="F14:F19" si="1">D14+E14</f>
        <v>9.5496266447076756</v>
      </c>
      <c r="G14" s="65" t="s">
        <v>548</v>
      </c>
    </row>
    <row r="15" spans="1:7" x14ac:dyDescent="0.3">
      <c r="A15" s="62">
        <v>9</v>
      </c>
      <c r="B15" s="63" t="s">
        <v>549</v>
      </c>
      <c r="C15" s="62" t="s">
        <v>70</v>
      </c>
      <c r="D15" s="64">
        <f>'00_DIEN_GIAI_HINH_HOC_CAD'!I57</f>
        <v>129.75614000000002</v>
      </c>
      <c r="E15" s="64">
        <f>'00_DIEN_GIAI_HINH_HOC_CAD'!I18 + '00_DIEN_GIAI_HINH_HOC_CAD'!I25 + '00_DIEN_GIAI_HINH_HOC_CAD'!I29 + '00_DIEN_GIAI_HINH_HOC_CAD'!I33</f>
        <v>371.59682000000004</v>
      </c>
      <c r="F15" s="64">
        <f t="shared" si="1"/>
        <v>501.35296000000005</v>
      </c>
      <c r="G15" s="65" t="s">
        <v>550</v>
      </c>
    </row>
    <row r="16" spans="1:7" x14ac:dyDescent="0.3">
      <c r="A16" s="62">
        <v>10</v>
      </c>
      <c r="B16" s="63" t="s">
        <v>551</v>
      </c>
      <c r="C16" s="62" t="s">
        <v>70</v>
      </c>
      <c r="D16" s="64">
        <v>30.12</v>
      </c>
      <c r="E16" s="64">
        <v>46.84</v>
      </c>
      <c r="F16" s="64">
        <f t="shared" si="1"/>
        <v>76.960000000000008</v>
      </c>
      <c r="G16" s="65" t="s">
        <v>552</v>
      </c>
    </row>
    <row r="17" spans="1:7" x14ac:dyDescent="0.3">
      <c r="A17" s="62">
        <v>11</v>
      </c>
      <c r="B17" s="63" t="s">
        <v>553</v>
      </c>
      <c r="C17" s="62" t="s">
        <v>70</v>
      </c>
      <c r="D17" s="64">
        <f>'00_DIEN_GIAI_HINH_HOC_CAD'!I64</f>
        <v>63.094119999999997</v>
      </c>
      <c r="E17" s="64">
        <f>'00_DIEN_GIAI_HINH_HOC_CAD'!I38</f>
        <v>255.18</v>
      </c>
      <c r="F17" s="64">
        <f t="shared" si="1"/>
        <v>318.27411999999998</v>
      </c>
      <c r="G17" s="65" t="s">
        <v>554</v>
      </c>
    </row>
    <row r="18" spans="1:7" x14ac:dyDescent="0.3">
      <c r="A18" s="62">
        <v>12</v>
      </c>
      <c r="B18" s="63" t="s">
        <v>555</v>
      </c>
      <c r="C18" s="62" t="s">
        <v>447</v>
      </c>
      <c r="D18" s="64">
        <v>53.27</v>
      </c>
      <c r="E18" s="64">
        <v>79.900000000000006</v>
      </c>
      <c r="F18" s="64">
        <f t="shared" si="1"/>
        <v>133.17000000000002</v>
      </c>
      <c r="G18" s="65" t="s">
        <v>556</v>
      </c>
    </row>
    <row r="19" spans="1:7" x14ac:dyDescent="0.3">
      <c r="A19" s="62">
        <v>13</v>
      </c>
      <c r="B19" s="63" t="s">
        <v>557</v>
      </c>
      <c r="C19" s="62" t="s">
        <v>447</v>
      </c>
      <c r="D19" s="64">
        <v>9.2100000000000009</v>
      </c>
      <c r="E19" s="64">
        <v>9.2100000000000009</v>
      </c>
      <c r="F19" s="64">
        <f t="shared" si="1"/>
        <v>18.420000000000002</v>
      </c>
      <c r="G19" s="65" t="s">
        <v>558</v>
      </c>
    </row>
    <row r="20" spans="1:7" ht="14.5" customHeight="1" x14ac:dyDescent="0.3">
      <c r="A20" s="60" t="s">
        <v>41</v>
      </c>
      <c r="B20" s="61" t="s">
        <v>559</v>
      </c>
      <c r="C20" s="60"/>
      <c r="D20" s="60"/>
      <c r="E20" s="60"/>
      <c r="F20" s="60"/>
      <c r="G20" s="60" t="s">
        <v>560</v>
      </c>
    </row>
    <row r="21" spans="1:7" x14ac:dyDescent="0.3">
      <c r="A21" s="62">
        <v>14</v>
      </c>
      <c r="B21" s="63" t="s">
        <v>561</v>
      </c>
      <c r="C21" s="62" t="s">
        <v>447</v>
      </c>
      <c r="D21" s="64">
        <v>44.33</v>
      </c>
      <c r="E21" s="64">
        <v>44.33</v>
      </c>
      <c r="F21" s="64">
        <f>D21+E21</f>
        <v>88.66</v>
      </c>
      <c r="G21" s="65" t="s">
        <v>504</v>
      </c>
    </row>
    <row r="22" spans="1:7" x14ac:dyDescent="0.3">
      <c r="A22" s="62">
        <v>15</v>
      </c>
      <c r="B22" s="63" t="s">
        <v>562</v>
      </c>
      <c r="C22" s="62" t="s">
        <v>447</v>
      </c>
      <c r="D22" s="64">
        <v>5828.41</v>
      </c>
      <c r="E22" s="64">
        <v>11918.02</v>
      </c>
      <c r="F22" s="64">
        <f>D22+E22</f>
        <v>17746.43</v>
      </c>
      <c r="G22" s="65" t="s">
        <v>506</v>
      </c>
    </row>
    <row r="23" spans="1:7" x14ac:dyDescent="0.3">
      <c r="A23" s="62">
        <v>16</v>
      </c>
      <c r="B23" s="63" t="s">
        <v>563</v>
      </c>
      <c r="C23" s="62" t="s">
        <v>447</v>
      </c>
      <c r="D23" s="64">
        <v>2085.8200000000002</v>
      </c>
      <c r="E23" s="64">
        <v>7686.38</v>
      </c>
      <c r="F23" s="64">
        <f>D23+E23</f>
        <v>9772.2000000000007</v>
      </c>
      <c r="G23" s="65" t="s">
        <v>506</v>
      </c>
    </row>
    <row r="24" spans="1:7" x14ac:dyDescent="0.3">
      <c r="A24" s="66" t="s">
        <v>453</v>
      </c>
      <c r="B24" s="67" t="s">
        <v>564</v>
      </c>
      <c r="C24" s="66" t="s">
        <v>447</v>
      </c>
      <c r="D24" s="68">
        <f>SUM(D21:D23)</f>
        <v>7958.5599999999995</v>
      </c>
      <c r="E24" s="68">
        <f>SUM(E21:E23)</f>
        <v>19648.73</v>
      </c>
      <c r="F24" s="68">
        <f>SUM(F21:F23)</f>
        <v>27607.29</v>
      </c>
      <c r="G24" s="69" t="s">
        <v>565</v>
      </c>
    </row>
    <row r="25" spans="1:7" x14ac:dyDescent="0.3">
      <c r="A25" s="66" t="s">
        <v>566</v>
      </c>
      <c r="B25" s="67" t="s">
        <v>567</v>
      </c>
      <c r="C25" s="66" t="s">
        <v>455</v>
      </c>
      <c r="D25" s="68">
        <f>D24/1000</f>
        <v>7.9585599999999994</v>
      </c>
      <c r="E25" s="68">
        <f>E24/1000</f>
        <v>19.64873</v>
      </c>
      <c r="F25" s="68">
        <f>F24/1000</f>
        <v>27.607290000000003</v>
      </c>
      <c r="G25" s="69" t="s">
        <v>568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8"/>
  </sheetPr>
  <dimension ref="A1:F32"/>
  <sheetViews>
    <sheetView workbookViewId="0">
      <selection activeCell="E11" sqref="E11"/>
    </sheetView>
  </sheetViews>
  <sheetFormatPr defaultRowHeight="14" x14ac:dyDescent="0.3"/>
  <cols>
    <col min="1" max="1" width="6.58203125" customWidth="1"/>
    <col min="2" max="2" width="46.58203125" customWidth="1"/>
    <col min="3" max="3" width="10.58203125" customWidth="1"/>
    <col min="4" max="4" width="18.58203125" customWidth="1"/>
    <col min="5" max="5" width="50.58203125" customWidth="1"/>
    <col min="6" max="6" width="28.58203125" customWidth="1"/>
    <col min="7" max="7" width="4.58203125" customWidth="1"/>
  </cols>
  <sheetData>
    <row r="1" spans="1:6" x14ac:dyDescent="0.3">
      <c r="A1" t="s">
        <v>569</v>
      </c>
    </row>
    <row r="2" spans="1:6" x14ac:dyDescent="0.3">
      <c r="A2" t="s">
        <v>570</v>
      </c>
    </row>
    <row r="4" spans="1:6" x14ac:dyDescent="0.3">
      <c r="A4" s="83" t="s">
        <v>2</v>
      </c>
      <c r="B4" s="83" t="s">
        <v>527</v>
      </c>
      <c r="C4" s="83" t="s">
        <v>490</v>
      </c>
      <c r="D4" s="83" t="s">
        <v>571</v>
      </c>
      <c r="E4" s="83" t="s">
        <v>572</v>
      </c>
      <c r="F4" s="83" t="s">
        <v>573</v>
      </c>
    </row>
    <row r="5" spans="1:6" x14ac:dyDescent="0.3">
      <c r="A5" s="84" t="s">
        <v>15</v>
      </c>
      <c r="B5" s="84" t="s">
        <v>574</v>
      </c>
      <c r="C5" s="84"/>
      <c r="D5" s="84"/>
      <c r="E5" s="84" t="s">
        <v>575</v>
      </c>
      <c r="F5" s="84" t="s">
        <v>576</v>
      </c>
    </row>
    <row r="6" spans="1:6" x14ac:dyDescent="0.3">
      <c r="A6">
        <v>1</v>
      </c>
      <c r="B6" t="s">
        <v>577</v>
      </c>
      <c r="C6" t="s">
        <v>17</v>
      </c>
      <c r="D6" s="85">
        <f>'00_DIEN_GIAI_HINH_HOC_CAD'!I68/2</f>
        <v>184.2428319736492</v>
      </c>
      <c r="E6" t="s">
        <v>578</v>
      </c>
      <c r="F6" t="s">
        <v>579</v>
      </c>
    </row>
    <row r="7" spans="1:6" x14ac:dyDescent="0.3">
      <c r="A7">
        <v>2</v>
      </c>
      <c r="B7" t="s">
        <v>580</v>
      </c>
      <c r="C7" t="s">
        <v>17</v>
      </c>
      <c r="D7" s="85">
        <f>'00_DIEN_GIAI_HINH_HOC_CAD'!I73/2</f>
        <v>8.7712213157661392</v>
      </c>
      <c r="E7" t="s">
        <v>581</v>
      </c>
      <c r="F7" t="s">
        <v>582</v>
      </c>
    </row>
    <row r="8" spans="1:6" x14ac:dyDescent="0.3">
      <c r="A8">
        <v>3</v>
      </c>
      <c r="B8" t="s">
        <v>583</v>
      </c>
      <c r="C8" t="s">
        <v>70</v>
      </c>
      <c r="D8" s="85">
        <f>'00_DIEN_GIAI_HINH_HOC_CAD'!I72/2</f>
        <v>78.400000000000006</v>
      </c>
      <c r="E8" t="s">
        <v>584</v>
      </c>
      <c r="F8" t="s">
        <v>585</v>
      </c>
    </row>
    <row r="9" spans="1:6" x14ac:dyDescent="0.3">
      <c r="A9">
        <v>4</v>
      </c>
      <c r="B9" t="s">
        <v>586</v>
      </c>
      <c r="C9" t="s">
        <v>70</v>
      </c>
      <c r="D9" s="85">
        <f>D8 + (11.6*8 - 15.175553)</f>
        <v>156.02444700000001</v>
      </c>
      <c r="E9" t="s">
        <v>587</v>
      </c>
      <c r="F9" t="s">
        <v>588</v>
      </c>
    </row>
    <row r="10" spans="1:6" x14ac:dyDescent="0.3">
      <c r="A10" s="84" t="s">
        <v>41</v>
      </c>
      <c r="B10" s="84" t="s">
        <v>589</v>
      </c>
      <c r="C10" s="84"/>
      <c r="D10" s="84"/>
      <c r="E10" s="84" t="s">
        <v>590</v>
      </c>
      <c r="F10" s="84" t="s">
        <v>591</v>
      </c>
    </row>
    <row r="11" spans="1:6" x14ac:dyDescent="0.3">
      <c r="A11">
        <v>5</v>
      </c>
      <c r="B11" t="s">
        <v>592</v>
      </c>
      <c r="C11" t="s">
        <v>17</v>
      </c>
      <c r="D11" s="85">
        <f>'00_DIEN_GIAI_HINH_HOC_CAD'!I75</f>
        <v>234.92204568256301</v>
      </c>
      <c r="E11" t="s">
        <v>593</v>
      </c>
      <c r="F11" t="s">
        <v>594</v>
      </c>
    </row>
    <row r="12" spans="1:6" x14ac:dyDescent="0.3">
      <c r="A12">
        <v>6</v>
      </c>
      <c r="B12" t="s">
        <v>595</v>
      </c>
      <c r="C12" t="s">
        <v>70</v>
      </c>
      <c r="D12" s="85">
        <f>'00_DIEN_GIAI_HINH_HOC_CAD'!I110</f>
        <v>309.60773500000005</v>
      </c>
      <c r="E12" t="s">
        <v>596</v>
      </c>
      <c r="F12" t="s">
        <v>597</v>
      </c>
    </row>
    <row r="13" spans="1:6" x14ac:dyDescent="0.3">
      <c r="A13" s="84" t="s">
        <v>74</v>
      </c>
      <c r="B13" s="84" t="s">
        <v>598</v>
      </c>
      <c r="C13" s="84"/>
      <c r="D13" s="84"/>
      <c r="E13" s="84" t="s">
        <v>599</v>
      </c>
      <c r="F13" s="84" t="s">
        <v>600</v>
      </c>
    </row>
    <row r="14" spans="1:6" x14ac:dyDescent="0.3">
      <c r="A14">
        <v>7</v>
      </c>
      <c r="B14" t="s">
        <v>601</v>
      </c>
      <c r="C14" t="s">
        <v>17</v>
      </c>
      <c r="D14" s="85">
        <f>'00_DIEN_GIAI_HINH_HOC_CAD'!I99/2</f>
        <v>64.425311999999991</v>
      </c>
      <c r="E14" t="s">
        <v>602</v>
      </c>
      <c r="F14" t="s">
        <v>603</v>
      </c>
    </row>
    <row r="15" spans="1:6" x14ac:dyDescent="0.3">
      <c r="A15">
        <v>8</v>
      </c>
      <c r="B15" t="s">
        <v>604</v>
      </c>
      <c r="C15" t="s">
        <v>70</v>
      </c>
      <c r="D15" s="85">
        <f>'00_DIEN_GIAI_HINH_HOC_CAD'!I104/2</f>
        <v>127.489254</v>
      </c>
      <c r="E15" t="s">
        <v>605</v>
      </c>
      <c r="F15" t="s">
        <v>606</v>
      </c>
    </row>
    <row r="16" spans="1:6" x14ac:dyDescent="0.3">
      <c r="A16">
        <v>9</v>
      </c>
      <c r="B16" t="s">
        <v>607</v>
      </c>
      <c r="C16" t="s">
        <v>447</v>
      </c>
      <c r="D16" s="86">
        <v>49.24</v>
      </c>
      <c r="E16" t="s">
        <v>608</v>
      </c>
      <c r="F16" t="s">
        <v>609</v>
      </c>
    </row>
    <row r="17" spans="1:6" x14ac:dyDescent="0.3">
      <c r="A17">
        <v>10</v>
      </c>
      <c r="B17" t="s">
        <v>610</v>
      </c>
      <c r="C17" t="s">
        <v>447</v>
      </c>
      <c r="D17" s="86">
        <v>29.09</v>
      </c>
      <c r="E17" t="s">
        <v>611</v>
      </c>
      <c r="F17" t="s">
        <v>612</v>
      </c>
    </row>
    <row r="18" spans="1:6" x14ac:dyDescent="0.3">
      <c r="A18">
        <v>11</v>
      </c>
      <c r="B18" t="s">
        <v>613</v>
      </c>
      <c r="C18" t="s">
        <v>70</v>
      </c>
      <c r="D18" s="85">
        <v>2.8</v>
      </c>
      <c r="E18" t="s">
        <v>614</v>
      </c>
      <c r="F18" t="s">
        <v>615</v>
      </c>
    </row>
    <row r="19" spans="1:6" x14ac:dyDescent="0.3">
      <c r="A19">
        <v>12</v>
      </c>
      <c r="B19" t="s">
        <v>616</v>
      </c>
      <c r="C19" t="s">
        <v>17</v>
      </c>
      <c r="D19" s="85">
        <v>0.13039999999999999</v>
      </c>
      <c r="E19" t="s">
        <v>617</v>
      </c>
      <c r="F19" t="s">
        <v>618</v>
      </c>
    </row>
    <row r="20" spans="1:6" x14ac:dyDescent="0.3">
      <c r="A20" s="87" t="s">
        <v>451</v>
      </c>
      <c r="B20" s="87" t="s">
        <v>619</v>
      </c>
      <c r="C20" s="87" t="s">
        <v>17</v>
      </c>
      <c r="D20" s="88">
        <f>D6+D11+D14</f>
        <v>483.59018965621215</v>
      </c>
      <c r="E20" s="87" t="s">
        <v>620</v>
      </c>
      <c r="F20" s="87" t="s">
        <v>621</v>
      </c>
    </row>
    <row r="21" spans="1:6" x14ac:dyDescent="0.3">
      <c r="A21" s="87" t="s">
        <v>453</v>
      </c>
      <c r="B21" s="87" t="s">
        <v>622</v>
      </c>
      <c r="C21" s="87" t="s">
        <v>70</v>
      </c>
      <c r="D21" s="88">
        <f>D8+D12+D15</f>
        <v>515.49698899999999</v>
      </c>
      <c r="E21" s="87" t="s">
        <v>623</v>
      </c>
      <c r="F21" s="87" t="s">
        <v>624</v>
      </c>
    </row>
    <row r="22" spans="1:6" x14ac:dyDescent="0.3">
      <c r="A22" s="84" t="s">
        <v>87</v>
      </c>
      <c r="B22" s="84" t="s">
        <v>625</v>
      </c>
      <c r="C22" s="84"/>
      <c r="D22" s="84"/>
      <c r="E22" s="84" t="s">
        <v>626</v>
      </c>
      <c r="F22" s="84" t="s">
        <v>627</v>
      </c>
    </row>
    <row r="23" spans="1:6" x14ac:dyDescent="0.3">
      <c r="A23">
        <v>13</v>
      </c>
      <c r="B23" t="s">
        <v>446</v>
      </c>
      <c r="C23" t="s">
        <v>447</v>
      </c>
      <c r="D23" s="86">
        <v>0</v>
      </c>
      <c r="E23" t="s">
        <v>628</v>
      </c>
      <c r="F23" t="s">
        <v>629</v>
      </c>
    </row>
    <row r="24" spans="1:6" x14ac:dyDescent="0.3">
      <c r="A24">
        <v>14</v>
      </c>
      <c r="B24" t="s">
        <v>448</v>
      </c>
      <c r="C24" t="s">
        <v>447</v>
      </c>
      <c r="D24" s="86">
        <f>'02b_BBS_THEP_TRU_T1_T2'!K6 + '02b_BBS_THEP_TRU_T1_T2'!K7 + '02b_BBS_THEP_TRU_T1_T2'!K8 + '02b_BBS_THEP_TRU_T1_T2'!K10 + '02b_BBS_THEP_TRU_T1_T2'!K12 + '02b_BBS_THEP_TRU_T1_T2'!K14 + 1162.77</f>
        <v>6256.7976479999998</v>
      </c>
      <c r="E24" t="s">
        <v>630</v>
      </c>
      <c r="F24" t="s">
        <v>631</v>
      </c>
    </row>
    <row r="25" spans="1:6" x14ac:dyDescent="0.3">
      <c r="A25">
        <v>15</v>
      </c>
      <c r="B25" t="s">
        <v>450</v>
      </c>
      <c r="C25" t="s">
        <v>447</v>
      </c>
      <c r="D25" s="86">
        <f>'02b_BBS_THEP_TRU_T1_T2'!K5 + '02b_BBS_THEP_TRU_T1_T2'!K9 + '02b_BBS_THEP_TRU_T1_T2'!K11 + '02b_BBS_THEP_TRU_T1_T2'!K13 + '02b_BBS_THEP_TRU_T1_T2'!K15 + '02b_BBS_THEP_TRU_T1_T2'!K17 + '02b_BBS_THEP_TRU_T1_T2'!K18 + 52402.66</f>
        <v>76701.474212000001</v>
      </c>
      <c r="E25" t="s">
        <v>632</v>
      </c>
      <c r="F25" t="s">
        <v>633</v>
      </c>
    </row>
    <row r="26" spans="1:6" x14ac:dyDescent="0.3">
      <c r="A26" s="87" t="s">
        <v>566</v>
      </c>
      <c r="B26" s="87" t="s">
        <v>634</v>
      </c>
      <c r="C26" s="87" t="s">
        <v>447</v>
      </c>
      <c r="D26" s="88">
        <f>SUM(D23:D25)</f>
        <v>82958.271860000008</v>
      </c>
      <c r="E26" s="87" t="s">
        <v>635</v>
      </c>
      <c r="F26" s="87" t="s">
        <v>636</v>
      </c>
    </row>
    <row r="27" spans="1:6" x14ac:dyDescent="0.3">
      <c r="A27" s="87" t="s">
        <v>637</v>
      </c>
      <c r="B27" s="87" t="s">
        <v>638</v>
      </c>
      <c r="C27" s="87" t="s">
        <v>455</v>
      </c>
      <c r="D27" s="88">
        <f>D26/1000</f>
        <v>82.958271860000011</v>
      </c>
      <c r="E27" s="87" t="s">
        <v>639</v>
      </c>
      <c r="F27" s="87" t="s">
        <v>640</v>
      </c>
    </row>
    <row r="28" spans="1:6" x14ac:dyDescent="0.3">
      <c r="A28" s="84" t="s">
        <v>100</v>
      </c>
      <c r="B28" s="84" t="s">
        <v>641</v>
      </c>
      <c r="C28" s="84"/>
      <c r="D28" s="84"/>
      <c r="E28" s="84" t="s">
        <v>642</v>
      </c>
      <c r="F28" s="84" t="s">
        <v>643</v>
      </c>
    </row>
    <row r="29" spans="1:6" x14ac:dyDescent="0.3">
      <c r="A29">
        <v>16</v>
      </c>
      <c r="B29" t="s">
        <v>644</v>
      </c>
      <c r="C29" t="s">
        <v>645</v>
      </c>
      <c r="D29" s="86">
        <v>8</v>
      </c>
      <c r="E29" t="s">
        <v>646</v>
      </c>
      <c r="F29" t="s">
        <v>647</v>
      </c>
    </row>
    <row r="30" spans="1:6" x14ac:dyDescent="0.3">
      <c r="A30">
        <v>17</v>
      </c>
      <c r="B30" t="s">
        <v>648</v>
      </c>
      <c r="C30" t="s">
        <v>43</v>
      </c>
      <c r="D30" s="86">
        <v>40</v>
      </c>
      <c r="E30" t="s">
        <v>649</v>
      </c>
      <c r="F30" t="s">
        <v>650</v>
      </c>
    </row>
    <row r="31" spans="1:6" x14ac:dyDescent="0.3">
      <c r="A31">
        <v>18</v>
      </c>
      <c r="B31" t="s">
        <v>651</v>
      </c>
      <c r="C31" t="s">
        <v>43</v>
      </c>
      <c r="D31" s="86">
        <f>D29*D30</f>
        <v>320</v>
      </c>
      <c r="E31" t="s">
        <v>652</v>
      </c>
      <c r="F31" t="s">
        <v>653</v>
      </c>
    </row>
    <row r="32" spans="1:6" x14ac:dyDescent="0.3">
      <c r="A32">
        <v>19</v>
      </c>
      <c r="B32" t="s">
        <v>654</v>
      </c>
      <c r="C32" t="s">
        <v>17</v>
      </c>
      <c r="D32" s="85">
        <f>D29*D30*PI()*(1.2/2)^2*1.02</f>
        <v>369.14970316741505</v>
      </c>
      <c r="E32" t="s">
        <v>655</v>
      </c>
      <c r="F32" t="s">
        <v>656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3"/>
  </sheetPr>
  <dimension ref="A1:F32"/>
  <sheetViews>
    <sheetView topLeftCell="E1" workbookViewId="0">
      <selection activeCell="W25" sqref="W25"/>
    </sheetView>
  </sheetViews>
  <sheetFormatPr defaultRowHeight="14" x14ac:dyDescent="0.3"/>
  <cols>
    <col min="1" max="1" width="6.58203125" customWidth="1"/>
    <col min="2" max="2" width="46.58203125" customWidth="1"/>
    <col min="3" max="3" width="10.58203125" customWidth="1"/>
    <col min="4" max="4" width="18.58203125" customWidth="1"/>
    <col min="5" max="5" width="50.58203125" customWidth="1"/>
    <col min="6" max="6" width="28.58203125" customWidth="1"/>
    <col min="7" max="7" width="4.58203125" customWidth="1"/>
  </cols>
  <sheetData>
    <row r="1" spans="1:6" x14ac:dyDescent="0.3">
      <c r="A1" t="s">
        <v>657</v>
      </c>
    </row>
    <row r="2" spans="1:6" x14ac:dyDescent="0.3">
      <c r="A2" t="s">
        <v>658</v>
      </c>
    </row>
    <row r="4" spans="1:6" x14ac:dyDescent="0.3">
      <c r="A4" s="89" t="s">
        <v>2</v>
      </c>
      <c r="B4" s="89" t="s">
        <v>527</v>
      </c>
      <c r="C4" s="89" t="s">
        <v>490</v>
      </c>
      <c r="D4" s="89" t="s">
        <v>659</v>
      </c>
      <c r="E4" s="89" t="s">
        <v>572</v>
      </c>
      <c r="F4" s="89" t="s">
        <v>573</v>
      </c>
    </row>
    <row r="5" spans="1:6" x14ac:dyDescent="0.3">
      <c r="A5" s="90" t="s">
        <v>15</v>
      </c>
      <c r="B5" s="90" t="s">
        <v>660</v>
      </c>
      <c r="C5" s="90"/>
      <c r="D5" s="90"/>
      <c r="E5" s="90" t="s">
        <v>661</v>
      </c>
      <c r="F5" s="90" t="s">
        <v>576</v>
      </c>
    </row>
    <row r="6" spans="1:6" x14ac:dyDescent="0.3">
      <c r="A6">
        <v>1</v>
      </c>
      <c r="B6" t="s">
        <v>577</v>
      </c>
      <c r="C6" t="s">
        <v>17</v>
      </c>
      <c r="D6" s="85">
        <f>'00_DIEN_GIAI_HINH_HOC_CAD'!I68/2</f>
        <v>184.2428319736492</v>
      </c>
      <c r="E6" t="s">
        <v>578</v>
      </c>
      <c r="F6" t="s">
        <v>579</v>
      </c>
    </row>
    <row r="7" spans="1:6" x14ac:dyDescent="0.3">
      <c r="A7">
        <v>2</v>
      </c>
      <c r="B7" t="s">
        <v>580</v>
      </c>
      <c r="C7" t="s">
        <v>17</v>
      </c>
      <c r="D7" s="85">
        <f>'00_DIEN_GIAI_HINH_HOC_CAD'!I73/2</f>
        <v>8.7712213157661392</v>
      </c>
      <c r="E7" t="s">
        <v>581</v>
      </c>
      <c r="F7" t="s">
        <v>582</v>
      </c>
    </row>
    <row r="8" spans="1:6" x14ac:dyDescent="0.3">
      <c r="A8">
        <v>3</v>
      </c>
      <c r="B8" t="s">
        <v>583</v>
      </c>
      <c r="C8" t="s">
        <v>70</v>
      </c>
      <c r="D8" s="85">
        <f>'00_DIEN_GIAI_HINH_HOC_CAD'!I72/2</f>
        <v>78.400000000000006</v>
      </c>
      <c r="E8" t="s">
        <v>584</v>
      </c>
      <c r="F8" t="s">
        <v>585</v>
      </c>
    </row>
    <row r="9" spans="1:6" x14ac:dyDescent="0.3">
      <c r="A9">
        <v>4</v>
      </c>
      <c r="B9" t="s">
        <v>586</v>
      </c>
      <c r="C9" t="s">
        <v>70</v>
      </c>
      <c r="D9" s="85">
        <f>D8 + (11.6*8 - 15.175553)</f>
        <v>156.02444700000001</v>
      </c>
      <c r="E9" t="s">
        <v>587</v>
      </c>
      <c r="F9" t="s">
        <v>588</v>
      </c>
    </row>
    <row r="10" spans="1:6" x14ac:dyDescent="0.3">
      <c r="A10" s="90" t="s">
        <v>41</v>
      </c>
      <c r="B10" s="90" t="s">
        <v>662</v>
      </c>
      <c r="C10" s="90"/>
      <c r="D10" s="90"/>
      <c r="E10" s="90" t="s">
        <v>663</v>
      </c>
      <c r="F10" s="90" t="s">
        <v>591</v>
      </c>
    </row>
    <row r="11" spans="1:6" x14ac:dyDescent="0.3">
      <c r="A11">
        <v>5</v>
      </c>
      <c r="B11" t="s">
        <v>592</v>
      </c>
      <c r="C11" t="s">
        <v>17</v>
      </c>
      <c r="D11" s="85">
        <f>'00_DIEN_GIAI_HINH_HOC_CAD'!I87</f>
        <v>266.7907061660145</v>
      </c>
      <c r="E11" t="s">
        <v>664</v>
      </c>
      <c r="F11" t="s">
        <v>665</v>
      </c>
    </row>
    <row r="12" spans="1:6" x14ac:dyDescent="0.3">
      <c r="A12">
        <v>6</v>
      </c>
      <c r="B12" t="s">
        <v>595</v>
      </c>
      <c r="C12" t="s">
        <v>70</v>
      </c>
      <c r="D12" s="85">
        <f>'00_DIEN_GIAI_HINH_HOC_CAD'!I114</f>
        <v>342.12056500000006</v>
      </c>
      <c r="E12" t="s">
        <v>666</v>
      </c>
      <c r="F12" t="s">
        <v>667</v>
      </c>
    </row>
    <row r="13" spans="1:6" x14ac:dyDescent="0.3">
      <c r="A13" s="90" t="s">
        <v>74</v>
      </c>
      <c r="B13" s="90" t="s">
        <v>668</v>
      </c>
      <c r="C13" s="90"/>
      <c r="D13" s="90"/>
      <c r="E13" s="90" t="s">
        <v>599</v>
      </c>
      <c r="F13" s="90" t="s">
        <v>600</v>
      </c>
    </row>
    <row r="14" spans="1:6" x14ac:dyDescent="0.3">
      <c r="A14">
        <v>7</v>
      </c>
      <c r="B14" t="s">
        <v>601</v>
      </c>
      <c r="C14" t="s">
        <v>17</v>
      </c>
      <c r="D14" s="85">
        <f>'00_DIEN_GIAI_HINH_HOC_CAD'!I99/2</f>
        <v>64.425311999999991</v>
      </c>
      <c r="E14" t="s">
        <v>602</v>
      </c>
      <c r="F14" t="s">
        <v>603</v>
      </c>
    </row>
    <row r="15" spans="1:6" x14ac:dyDescent="0.3">
      <c r="A15">
        <v>8</v>
      </c>
      <c r="B15" t="s">
        <v>604</v>
      </c>
      <c r="C15" t="s">
        <v>70</v>
      </c>
      <c r="D15" s="85">
        <f>'00_DIEN_GIAI_HINH_HOC_CAD'!I104/2</f>
        <v>127.489254</v>
      </c>
      <c r="E15" t="s">
        <v>605</v>
      </c>
      <c r="F15" t="s">
        <v>606</v>
      </c>
    </row>
    <row r="16" spans="1:6" x14ac:dyDescent="0.3">
      <c r="A16">
        <v>9</v>
      </c>
      <c r="B16" t="s">
        <v>607</v>
      </c>
      <c r="C16" t="s">
        <v>447</v>
      </c>
      <c r="D16" s="86">
        <v>49.24</v>
      </c>
      <c r="E16" t="s">
        <v>608</v>
      </c>
      <c r="F16" t="s">
        <v>609</v>
      </c>
    </row>
    <row r="17" spans="1:6" x14ac:dyDescent="0.3">
      <c r="A17">
        <v>10</v>
      </c>
      <c r="B17" t="s">
        <v>610</v>
      </c>
      <c r="C17" t="s">
        <v>447</v>
      </c>
      <c r="D17" s="86">
        <v>15.66</v>
      </c>
      <c r="E17" t="s">
        <v>611</v>
      </c>
      <c r="F17" t="s">
        <v>612</v>
      </c>
    </row>
    <row r="18" spans="1:6" x14ac:dyDescent="0.3">
      <c r="A18">
        <v>11</v>
      </c>
      <c r="B18" t="s">
        <v>613</v>
      </c>
      <c r="C18" t="s">
        <v>70</v>
      </c>
      <c r="D18" s="85">
        <v>2.8</v>
      </c>
      <c r="E18" t="s">
        <v>614</v>
      </c>
      <c r="F18" t="s">
        <v>615</v>
      </c>
    </row>
    <row r="19" spans="1:6" x14ac:dyDescent="0.3">
      <c r="A19">
        <v>12</v>
      </c>
      <c r="B19" t="s">
        <v>616</v>
      </c>
      <c r="C19" t="s">
        <v>17</v>
      </c>
      <c r="D19" s="85">
        <v>0.13039999999999999</v>
      </c>
      <c r="E19" t="s">
        <v>617</v>
      </c>
      <c r="F19" t="s">
        <v>618</v>
      </c>
    </row>
    <row r="20" spans="1:6" x14ac:dyDescent="0.3">
      <c r="A20" s="91" t="s">
        <v>451</v>
      </c>
      <c r="B20" s="91" t="s">
        <v>669</v>
      </c>
      <c r="C20" s="91" t="s">
        <v>17</v>
      </c>
      <c r="D20" s="92">
        <f>D6+D11+D14</f>
        <v>515.4588501396637</v>
      </c>
      <c r="E20" s="91" t="s">
        <v>670</v>
      </c>
      <c r="F20" s="91" t="s">
        <v>671</v>
      </c>
    </row>
    <row r="21" spans="1:6" x14ac:dyDescent="0.3">
      <c r="A21" s="91" t="s">
        <v>453</v>
      </c>
      <c r="B21" s="91" t="s">
        <v>672</v>
      </c>
      <c r="C21" s="91" t="s">
        <v>70</v>
      </c>
      <c r="D21" s="92">
        <f>D8+D12+D15</f>
        <v>548.00981899999999</v>
      </c>
      <c r="E21" s="91" t="s">
        <v>673</v>
      </c>
      <c r="F21" s="91" t="s">
        <v>674</v>
      </c>
    </row>
    <row r="22" spans="1:6" x14ac:dyDescent="0.3">
      <c r="A22" s="90" t="s">
        <v>87</v>
      </c>
      <c r="B22" s="90" t="s">
        <v>675</v>
      </c>
      <c r="C22" s="90"/>
      <c r="D22" s="90"/>
      <c r="E22" s="90" t="s">
        <v>676</v>
      </c>
      <c r="F22" s="90" t="s">
        <v>627</v>
      </c>
    </row>
    <row r="23" spans="1:6" x14ac:dyDescent="0.3">
      <c r="A23">
        <v>13</v>
      </c>
      <c r="B23" t="s">
        <v>446</v>
      </c>
      <c r="C23" t="s">
        <v>447</v>
      </c>
      <c r="D23" s="86">
        <v>0</v>
      </c>
      <c r="E23" t="s">
        <v>628</v>
      </c>
      <c r="F23" t="s">
        <v>629</v>
      </c>
    </row>
    <row r="24" spans="1:6" x14ac:dyDescent="0.3">
      <c r="A24">
        <v>14</v>
      </c>
      <c r="B24" t="s">
        <v>448</v>
      </c>
      <c r="C24" t="s">
        <v>447</v>
      </c>
      <c r="D24" s="86">
        <f>'02b_BBS_THEP_TRU_T1_T2'!L6 + '02b_BBS_THEP_TRU_T1_T2'!L7 + '02b_BBS_THEP_TRU_T1_T2'!L8 + '02b_BBS_THEP_TRU_T1_T2'!L10 + '02b_BBS_THEP_TRU_T1_T2'!L12 + '02b_BBS_THEP_TRU_T1_T2'!L14 + 2175.74</f>
        <v>7269.767648</v>
      </c>
      <c r="E24" t="s">
        <v>630</v>
      </c>
      <c r="F24" t="s">
        <v>677</v>
      </c>
    </row>
    <row r="25" spans="1:6" x14ac:dyDescent="0.3">
      <c r="A25">
        <v>15</v>
      </c>
      <c r="B25" t="s">
        <v>450</v>
      </c>
      <c r="C25" t="s">
        <v>447</v>
      </c>
      <c r="D25" s="86">
        <f>'02b_BBS_THEP_TRU_T1_T2'!L5 + '02b_BBS_THEP_TRU_T1_T2'!L9 + '02b_BBS_THEP_TRU_T1_T2'!L11 + '02b_BBS_THEP_TRU_T1_T2'!L13 + '02b_BBS_THEP_TRU_T1_T2'!L15 + '02b_BBS_THEP_TRU_T1_T2'!L17 + '02b_BBS_THEP_TRU_T1_T2'!L18 + 53039.01</f>
        <v>77974.174612000003</v>
      </c>
      <c r="E25" t="s">
        <v>678</v>
      </c>
      <c r="F25" t="s">
        <v>679</v>
      </c>
    </row>
    <row r="26" spans="1:6" x14ac:dyDescent="0.3">
      <c r="A26" s="91" t="s">
        <v>566</v>
      </c>
      <c r="B26" s="91" t="s">
        <v>680</v>
      </c>
      <c r="C26" s="91" t="s">
        <v>447</v>
      </c>
      <c r="D26" s="92">
        <f>SUM(D23:D25)</f>
        <v>85243.942259999996</v>
      </c>
      <c r="E26" s="91" t="s">
        <v>681</v>
      </c>
      <c r="F26" s="91" t="s">
        <v>682</v>
      </c>
    </row>
    <row r="27" spans="1:6" x14ac:dyDescent="0.3">
      <c r="A27" s="91" t="s">
        <v>637</v>
      </c>
      <c r="B27" s="91" t="s">
        <v>638</v>
      </c>
      <c r="C27" s="91" t="s">
        <v>455</v>
      </c>
      <c r="D27" s="92">
        <f>D26/1000</f>
        <v>85.243942259999997</v>
      </c>
      <c r="E27" s="91" t="s">
        <v>639</v>
      </c>
      <c r="F27" s="91" t="s">
        <v>683</v>
      </c>
    </row>
    <row r="28" spans="1:6" x14ac:dyDescent="0.3">
      <c r="A28" s="90" t="s">
        <v>100</v>
      </c>
      <c r="B28" s="90" t="s">
        <v>684</v>
      </c>
      <c r="C28" s="90"/>
      <c r="D28" s="90"/>
      <c r="E28" s="90" t="s">
        <v>642</v>
      </c>
      <c r="F28" s="90" t="s">
        <v>685</v>
      </c>
    </row>
    <row r="29" spans="1:6" x14ac:dyDescent="0.3">
      <c r="A29">
        <v>16</v>
      </c>
      <c r="B29" t="s">
        <v>644</v>
      </c>
      <c r="C29" t="s">
        <v>645</v>
      </c>
      <c r="D29" s="86">
        <v>8</v>
      </c>
      <c r="E29" t="s">
        <v>646</v>
      </c>
      <c r="F29" t="s">
        <v>647</v>
      </c>
    </row>
    <row r="30" spans="1:6" x14ac:dyDescent="0.3">
      <c r="A30">
        <v>17</v>
      </c>
      <c r="B30" t="s">
        <v>648</v>
      </c>
      <c r="C30" t="s">
        <v>43</v>
      </c>
      <c r="D30" s="86">
        <v>30</v>
      </c>
      <c r="E30" t="s">
        <v>686</v>
      </c>
      <c r="F30" t="s">
        <v>687</v>
      </c>
    </row>
    <row r="31" spans="1:6" x14ac:dyDescent="0.3">
      <c r="A31">
        <v>18</v>
      </c>
      <c r="B31" t="s">
        <v>651</v>
      </c>
      <c r="C31" t="s">
        <v>43</v>
      </c>
      <c r="D31" s="86">
        <f>D29*D30</f>
        <v>240</v>
      </c>
      <c r="E31" t="s">
        <v>688</v>
      </c>
      <c r="F31" t="s">
        <v>689</v>
      </c>
    </row>
    <row r="32" spans="1:6" x14ac:dyDescent="0.3">
      <c r="A32">
        <v>19</v>
      </c>
      <c r="B32" t="s">
        <v>654</v>
      </c>
      <c r="C32" t="s">
        <v>17</v>
      </c>
      <c r="D32" s="85">
        <f>D29*D30*PI()*(1.2/2)^2*1.02</f>
        <v>276.86227737556123</v>
      </c>
      <c r="E32" t="s">
        <v>690</v>
      </c>
      <c r="F32" t="s">
        <v>691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2"/>
  <sheetViews>
    <sheetView topLeftCell="G1" workbookViewId="0">
      <selection activeCell="Z22" sqref="Z22"/>
    </sheetView>
  </sheetViews>
  <sheetFormatPr defaultRowHeight="14" x14ac:dyDescent="0.3"/>
  <cols>
    <col min="1" max="1" width="6" customWidth="1"/>
    <col min="2" max="2" width="46" customWidth="1"/>
    <col min="3" max="3" width="10" customWidth="1"/>
    <col min="4" max="5" width="16" customWidth="1"/>
    <col min="6" max="6" width="18" customWidth="1"/>
    <col min="7" max="7" width="35" customWidth="1"/>
  </cols>
  <sheetData>
    <row r="1" spans="1:9" ht="19.5" customHeight="1" x14ac:dyDescent="0.45">
      <c r="A1" s="2" t="s">
        <v>692</v>
      </c>
    </row>
    <row r="2" spans="1:9" ht="14.5" customHeight="1" x14ac:dyDescent="0.35">
      <c r="A2" s="1" t="s">
        <v>693</v>
      </c>
    </row>
    <row r="4" spans="1:9" ht="64" customHeight="1" x14ac:dyDescent="0.3">
      <c r="A4" s="70" t="s">
        <v>2</v>
      </c>
      <c r="B4" s="70" t="s">
        <v>527</v>
      </c>
      <c r="C4" s="70" t="s">
        <v>490</v>
      </c>
      <c r="D4" s="70" t="s">
        <v>491</v>
      </c>
      <c r="E4" s="70" t="s">
        <v>492</v>
      </c>
      <c r="F4" s="70" t="s">
        <v>694</v>
      </c>
      <c r="G4" s="70" t="s">
        <v>695</v>
      </c>
      <c r="H4" s="70" t="s">
        <v>696</v>
      </c>
      <c r="I4" s="70" t="s">
        <v>697</v>
      </c>
    </row>
    <row r="5" spans="1:9" ht="14.5" customHeight="1" x14ac:dyDescent="0.3">
      <c r="A5" s="60" t="s">
        <v>15</v>
      </c>
      <c r="B5" s="61" t="s">
        <v>698</v>
      </c>
      <c r="C5" s="60"/>
      <c r="D5" s="60"/>
      <c r="E5" s="60"/>
      <c r="F5" s="60"/>
      <c r="G5" s="60" t="s">
        <v>699</v>
      </c>
      <c r="H5" s="71"/>
      <c r="I5" s="71"/>
    </row>
    <row r="6" spans="1:9" x14ac:dyDescent="0.3">
      <c r="A6" s="62">
        <v>1</v>
      </c>
      <c r="B6" s="63" t="s">
        <v>577</v>
      </c>
      <c r="C6" s="62" t="s">
        <v>17</v>
      </c>
      <c r="D6" s="64">
        <f>'02_TRU_T1'!D6</f>
        <v>184.2428319736492</v>
      </c>
      <c r="E6" s="64">
        <f>'02_TRU_T2'!D6</f>
        <v>184.2428319736492</v>
      </c>
      <c r="F6" s="64">
        <f>E6-D6</f>
        <v>0</v>
      </c>
      <c r="G6" s="64">
        <f>D6+E6</f>
        <v>368.48566394729841</v>
      </c>
      <c r="H6" s="71" t="s">
        <v>700</v>
      </c>
      <c r="I6" s="71" t="s">
        <v>701</v>
      </c>
    </row>
    <row r="7" spans="1:9" x14ac:dyDescent="0.3">
      <c r="A7" s="62">
        <v>2</v>
      </c>
      <c r="B7" s="63" t="s">
        <v>580</v>
      </c>
      <c r="C7" s="62" t="s">
        <v>17</v>
      </c>
      <c r="D7" s="64">
        <f>'02_TRU_T1'!D7</f>
        <v>8.7712213157661392</v>
      </c>
      <c r="E7" s="64">
        <f>'02_TRU_T2'!D7</f>
        <v>8.7712213157661392</v>
      </c>
      <c r="F7" s="64">
        <f>E7-D7</f>
        <v>0</v>
      </c>
      <c r="G7" s="64">
        <f>D7+E7</f>
        <v>17.542442631532278</v>
      </c>
      <c r="H7" s="71" t="s">
        <v>702</v>
      </c>
      <c r="I7" s="71" t="s">
        <v>703</v>
      </c>
    </row>
    <row r="8" spans="1:9" x14ac:dyDescent="0.3">
      <c r="A8" s="62">
        <v>3</v>
      </c>
      <c r="B8" s="63" t="s">
        <v>704</v>
      </c>
      <c r="C8" s="62" t="s">
        <v>70</v>
      </c>
      <c r="D8" s="64">
        <f>'02_TRU_T1'!D8</f>
        <v>78.400000000000006</v>
      </c>
      <c r="E8" s="64">
        <f>'02_TRU_T2'!D8</f>
        <v>78.400000000000006</v>
      </c>
      <c r="F8" s="64">
        <f>E8-D8</f>
        <v>0</v>
      </c>
      <c r="G8" s="64">
        <f>D8+E8</f>
        <v>156.80000000000001</v>
      </c>
      <c r="H8" s="71" t="s">
        <v>584</v>
      </c>
      <c r="I8" s="71" t="s">
        <v>705</v>
      </c>
    </row>
    <row r="9" spans="1:9" x14ac:dyDescent="0.3">
      <c r="A9" s="62">
        <v>4</v>
      </c>
      <c r="B9" s="63" t="s">
        <v>586</v>
      </c>
      <c r="C9" s="62" t="s">
        <v>70</v>
      </c>
      <c r="D9" s="64">
        <f>'02_TRU_T1'!D9</f>
        <v>156.02444700000001</v>
      </c>
      <c r="E9" s="64">
        <f>'02_TRU_T2'!D9</f>
        <v>156.02444700000001</v>
      </c>
      <c r="F9" s="64">
        <f>E9-D9</f>
        <v>0</v>
      </c>
      <c r="G9" s="64">
        <f>D9+E9</f>
        <v>312.04889400000002</v>
      </c>
      <c r="H9" s="71" t="s">
        <v>706</v>
      </c>
      <c r="I9" s="71" t="s">
        <v>707</v>
      </c>
    </row>
    <row r="10" spans="1:9" ht="14.5" customHeight="1" x14ac:dyDescent="0.3">
      <c r="A10" s="60" t="s">
        <v>41</v>
      </c>
      <c r="B10" s="61" t="s">
        <v>708</v>
      </c>
      <c r="C10" s="60"/>
      <c r="D10" s="60"/>
      <c r="E10" s="60"/>
      <c r="F10" s="60"/>
      <c r="G10" s="60" t="s">
        <v>709</v>
      </c>
      <c r="H10" s="71"/>
      <c r="I10" s="71"/>
    </row>
    <row r="11" spans="1:9" x14ac:dyDescent="0.3">
      <c r="A11" s="62">
        <v>5</v>
      </c>
      <c r="B11" s="63" t="s">
        <v>710</v>
      </c>
      <c r="C11" s="62" t="s">
        <v>17</v>
      </c>
      <c r="D11" s="64">
        <f>'02_TRU_T1'!D11</f>
        <v>234.92204568256301</v>
      </c>
      <c r="E11" s="64">
        <f>'02_TRU_T2'!D11</f>
        <v>266.7907061660145</v>
      </c>
      <c r="F11" s="64">
        <f>E11-D11</f>
        <v>31.868660483451492</v>
      </c>
      <c r="G11" s="64">
        <f>D11+E11</f>
        <v>501.71275184857751</v>
      </c>
      <c r="H11" s="71" t="s">
        <v>590</v>
      </c>
      <c r="I11" s="71" t="s">
        <v>711</v>
      </c>
    </row>
    <row r="12" spans="1:9" x14ac:dyDescent="0.3">
      <c r="A12" s="62">
        <v>6</v>
      </c>
      <c r="B12" s="63" t="s">
        <v>712</v>
      </c>
      <c r="C12" s="62" t="s">
        <v>70</v>
      </c>
      <c r="D12" s="64">
        <f>'02_TRU_T1'!D12</f>
        <v>309.60773500000005</v>
      </c>
      <c r="E12" s="64">
        <f>'02_TRU_T2'!D12</f>
        <v>342.12056500000006</v>
      </c>
      <c r="F12" s="64">
        <f>E12-D12</f>
        <v>32.512830000000008</v>
      </c>
      <c r="G12" s="64">
        <f>D12+E12</f>
        <v>651.7283000000001</v>
      </c>
      <c r="H12" s="71" t="s">
        <v>713</v>
      </c>
      <c r="I12" s="71" t="s">
        <v>714</v>
      </c>
    </row>
    <row r="13" spans="1:9" ht="14.5" customHeight="1" x14ac:dyDescent="0.3">
      <c r="A13" s="60" t="s">
        <v>74</v>
      </c>
      <c r="B13" s="61" t="s">
        <v>715</v>
      </c>
      <c r="C13" s="60"/>
      <c r="D13" s="60"/>
      <c r="E13" s="60"/>
      <c r="F13" s="60"/>
      <c r="G13" s="60" t="s">
        <v>599</v>
      </c>
      <c r="H13" s="71"/>
      <c r="I13" s="71"/>
    </row>
    <row r="14" spans="1:9" x14ac:dyDescent="0.3">
      <c r="A14" s="62">
        <v>7</v>
      </c>
      <c r="B14" s="63" t="s">
        <v>601</v>
      </c>
      <c r="C14" s="62" t="s">
        <v>17</v>
      </c>
      <c r="D14" s="64">
        <f>'02_TRU_T1'!D14</f>
        <v>64.425311999999991</v>
      </c>
      <c r="E14" s="64">
        <f>'02_TRU_T2'!D14</f>
        <v>64.425311999999991</v>
      </c>
      <c r="F14" s="64">
        <f t="shared" ref="F14:F21" si="0">E14-D14</f>
        <v>0</v>
      </c>
      <c r="G14" s="64">
        <f t="shared" ref="G14:G21" si="1">D14+E14</f>
        <v>128.85062399999998</v>
      </c>
      <c r="H14" s="71" t="s">
        <v>716</v>
      </c>
      <c r="I14" s="71" t="s">
        <v>717</v>
      </c>
    </row>
    <row r="15" spans="1:9" x14ac:dyDescent="0.3">
      <c r="A15" s="62">
        <v>8</v>
      </c>
      <c r="B15" s="63" t="s">
        <v>604</v>
      </c>
      <c r="C15" s="62" t="s">
        <v>70</v>
      </c>
      <c r="D15" s="64">
        <f>'02_TRU_T1'!D15</f>
        <v>127.489254</v>
      </c>
      <c r="E15" s="64">
        <f>'02_TRU_T2'!D15</f>
        <v>127.489254</v>
      </c>
      <c r="F15" s="64">
        <f t="shared" si="0"/>
        <v>0</v>
      </c>
      <c r="G15" s="64">
        <f t="shared" si="1"/>
        <v>254.97850800000001</v>
      </c>
      <c r="H15" s="71" t="s">
        <v>718</v>
      </c>
      <c r="I15" s="71" t="s">
        <v>719</v>
      </c>
    </row>
    <row r="16" spans="1:9" x14ac:dyDescent="0.3">
      <c r="A16" s="62">
        <v>9</v>
      </c>
      <c r="B16" s="63" t="s">
        <v>607</v>
      </c>
      <c r="C16" s="62" t="s">
        <v>447</v>
      </c>
      <c r="D16" s="64">
        <f>'02_TRU_T1'!D16</f>
        <v>49.24</v>
      </c>
      <c r="E16" s="64">
        <f>'02_TRU_T2'!D16</f>
        <v>49.24</v>
      </c>
      <c r="F16" s="64">
        <f t="shared" si="0"/>
        <v>0</v>
      </c>
      <c r="G16" s="64">
        <f t="shared" si="1"/>
        <v>98.48</v>
      </c>
      <c r="H16" s="71" t="s">
        <v>720</v>
      </c>
      <c r="I16" s="71" t="s">
        <v>609</v>
      </c>
    </row>
    <row r="17" spans="1:9" x14ac:dyDescent="0.3">
      <c r="A17" s="62">
        <v>10</v>
      </c>
      <c r="B17" s="63" t="s">
        <v>610</v>
      </c>
      <c r="C17" s="62" t="s">
        <v>447</v>
      </c>
      <c r="D17" s="64">
        <f>'02_TRU_T1'!D17</f>
        <v>29.09</v>
      </c>
      <c r="E17" s="64">
        <f>'02_TRU_T2'!D17</f>
        <v>15.66</v>
      </c>
      <c r="F17" s="64">
        <f t="shared" si="0"/>
        <v>-13.43</v>
      </c>
      <c r="G17" s="64">
        <f t="shared" si="1"/>
        <v>44.75</v>
      </c>
      <c r="H17" s="71" t="s">
        <v>721</v>
      </c>
      <c r="I17" s="71" t="s">
        <v>722</v>
      </c>
    </row>
    <row r="18" spans="1:9" x14ac:dyDescent="0.3">
      <c r="A18" s="62">
        <v>11</v>
      </c>
      <c r="B18" s="63" t="s">
        <v>613</v>
      </c>
      <c r="C18" s="62" t="s">
        <v>70</v>
      </c>
      <c r="D18" s="64">
        <f>'02_TRU_T1'!D18</f>
        <v>2.8</v>
      </c>
      <c r="E18" s="64">
        <f>'02_TRU_T2'!D18</f>
        <v>2.8</v>
      </c>
      <c r="F18" s="64">
        <f t="shared" si="0"/>
        <v>0</v>
      </c>
      <c r="G18" s="64">
        <f t="shared" si="1"/>
        <v>5.6</v>
      </c>
      <c r="H18" s="71" t="s">
        <v>723</v>
      </c>
      <c r="I18" s="71" t="s">
        <v>615</v>
      </c>
    </row>
    <row r="19" spans="1:9" x14ac:dyDescent="0.3">
      <c r="A19" s="62">
        <v>12</v>
      </c>
      <c r="B19" s="63" t="s">
        <v>616</v>
      </c>
      <c r="C19" s="62" t="s">
        <v>17</v>
      </c>
      <c r="D19" s="64">
        <f>'02_TRU_T1'!D19</f>
        <v>0.13039999999999999</v>
      </c>
      <c r="E19" s="64">
        <f>'02_TRU_T2'!D19</f>
        <v>0.13039999999999999</v>
      </c>
      <c r="F19" s="64">
        <f t="shared" si="0"/>
        <v>0</v>
      </c>
      <c r="G19" s="64">
        <f t="shared" si="1"/>
        <v>0.26079999999999998</v>
      </c>
      <c r="H19" s="71" t="s">
        <v>724</v>
      </c>
      <c r="I19" s="71" t="s">
        <v>725</v>
      </c>
    </row>
    <row r="20" spans="1:9" x14ac:dyDescent="0.3">
      <c r="A20" s="66" t="s">
        <v>451</v>
      </c>
      <c r="B20" s="67" t="s">
        <v>726</v>
      </c>
      <c r="C20" s="66" t="s">
        <v>17</v>
      </c>
      <c r="D20" s="68">
        <f>'02_TRU_T1'!D20</f>
        <v>483.59018965621215</v>
      </c>
      <c r="E20" s="68">
        <f>'02_TRU_T2'!D20</f>
        <v>515.4588501396637</v>
      </c>
      <c r="F20" s="68">
        <f t="shared" si="0"/>
        <v>31.868660483451549</v>
      </c>
      <c r="G20" s="68">
        <f t="shared" si="1"/>
        <v>999.04903979587584</v>
      </c>
      <c r="H20" s="71" t="s">
        <v>727</v>
      </c>
      <c r="I20" s="71" t="s">
        <v>728</v>
      </c>
    </row>
    <row r="21" spans="1:9" x14ac:dyDescent="0.3">
      <c r="A21" s="66" t="s">
        <v>453</v>
      </c>
      <c r="B21" s="67" t="s">
        <v>729</v>
      </c>
      <c r="C21" s="66" t="s">
        <v>70</v>
      </c>
      <c r="D21" s="68">
        <f>'02_TRU_T1'!D21</f>
        <v>515.49698899999999</v>
      </c>
      <c r="E21" s="68">
        <f>'02_TRU_T2'!D21</f>
        <v>548.00981899999999</v>
      </c>
      <c r="F21" s="68">
        <f t="shared" si="0"/>
        <v>32.512830000000008</v>
      </c>
      <c r="G21" s="68">
        <f t="shared" si="1"/>
        <v>1063.5068080000001</v>
      </c>
      <c r="H21" s="71" t="s">
        <v>730</v>
      </c>
      <c r="I21" s="71" t="s">
        <v>731</v>
      </c>
    </row>
    <row r="22" spans="1:9" ht="14.5" customHeight="1" x14ac:dyDescent="0.3">
      <c r="A22" s="60" t="s">
        <v>87</v>
      </c>
      <c r="B22" s="61" t="s">
        <v>732</v>
      </c>
      <c r="C22" s="60"/>
      <c r="D22" s="60"/>
      <c r="E22" s="60"/>
      <c r="F22" s="60"/>
      <c r="G22" s="60" t="s">
        <v>733</v>
      </c>
      <c r="H22" s="71"/>
      <c r="I22" s="71"/>
    </row>
    <row r="23" spans="1:9" x14ac:dyDescent="0.3">
      <c r="A23" s="62">
        <v>13</v>
      </c>
      <c r="B23" s="63" t="s">
        <v>734</v>
      </c>
      <c r="C23" s="62" t="s">
        <v>447</v>
      </c>
      <c r="D23" s="64">
        <f>'02_TRU_T1'!D23</f>
        <v>0</v>
      </c>
      <c r="E23" s="64">
        <f>'02_TRU_T2'!D23</f>
        <v>0</v>
      </c>
      <c r="F23" s="64">
        <f>E23-D23</f>
        <v>0</v>
      </c>
      <c r="G23" s="64">
        <f>D23+E23</f>
        <v>0</v>
      </c>
      <c r="H23" s="71" t="s">
        <v>735</v>
      </c>
      <c r="I23" s="71" t="s">
        <v>736</v>
      </c>
    </row>
    <row r="24" spans="1:9" x14ac:dyDescent="0.3">
      <c r="A24" s="62">
        <v>14</v>
      </c>
      <c r="B24" s="63" t="s">
        <v>737</v>
      </c>
      <c r="C24" s="62" t="s">
        <v>447</v>
      </c>
      <c r="D24" s="64">
        <f>'02_TRU_T1'!D24</f>
        <v>6256.7976479999998</v>
      </c>
      <c r="E24" s="64">
        <f>'02_TRU_T2'!D24</f>
        <v>7269.767648</v>
      </c>
      <c r="F24" s="64">
        <f>E24-D24</f>
        <v>1012.9700000000003</v>
      </c>
      <c r="G24" s="64">
        <f>D24+E24</f>
        <v>13526.565296000001</v>
      </c>
      <c r="H24" s="71" t="s">
        <v>738</v>
      </c>
      <c r="I24" s="71" t="s">
        <v>739</v>
      </c>
    </row>
    <row r="25" spans="1:9" x14ac:dyDescent="0.3">
      <c r="A25" s="62">
        <v>15</v>
      </c>
      <c r="B25" s="63" t="s">
        <v>740</v>
      </c>
      <c r="C25" s="62" t="s">
        <v>447</v>
      </c>
      <c r="D25" s="64">
        <f>'02_TRU_T1'!D25</f>
        <v>76701.474212000001</v>
      </c>
      <c r="E25" s="64">
        <f>'02_TRU_T2'!D25</f>
        <v>77974.174612000003</v>
      </c>
      <c r="F25" s="64">
        <f>E25-D25</f>
        <v>1272.7004000000015</v>
      </c>
      <c r="G25" s="64">
        <f>D25+E25</f>
        <v>154675.648824</v>
      </c>
      <c r="H25" s="71" t="s">
        <v>741</v>
      </c>
      <c r="I25" s="71" t="s">
        <v>742</v>
      </c>
    </row>
    <row r="26" spans="1:9" x14ac:dyDescent="0.3">
      <c r="A26" s="66" t="s">
        <v>566</v>
      </c>
      <c r="B26" s="67" t="s">
        <v>743</v>
      </c>
      <c r="C26" s="66" t="s">
        <v>447</v>
      </c>
      <c r="D26" s="68">
        <f>'02_TRU_T1'!D26</f>
        <v>82958.271860000008</v>
      </c>
      <c r="E26" s="68">
        <f>'02_TRU_T2'!D26</f>
        <v>85243.942259999996</v>
      </c>
      <c r="F26" s="68">
        <f>E26-D26</f>
        <v>2285.6703999999881</v>
      </c>
      <c r="G26" s="68">
        <f>D26+E26</f>
        <v>168202.21412000002</v>
      </c>
      <c r="H26" s="71" t="s">
        <v>744</v>
      </c>
      <c r="I26" s="71" t="s">
        <v>745</v>
      </c>
    </row>
    <row r="27" spans="1:9" x14ac:dyDescent="0.3">
      <c r="A27" s="66" t="s">
        <v>637</v>
      </c>
      <c r="B27" s="67" t="s">
        <v>746</v>
      </c>
      <c r="C27" s="66" t="s">
        <v>455</v>
      </c>
      <c r="D27" s="68">
        <f>'02_TRU_T1'!D27</f>
        <v>82.958271860000011</v>
      </c>
      <c r="E27" s="68">
        <f>'02_TRU_T2'!D27</f>
        <v>85.243942259999997</v>
      </c>
      <c r="F27" s="68">
        <f>E27-D27</f>
        <v>2.2856703999999866</v>
      </c>
      <c r="G27" s="68">
        <f>G26/1000</f>
        <v>168.20221412000001</v>
      </c>
      <c r="H27" s="71" t="s">
        <v>568</v>
      </c>
      <c r="I27" s="71" t="s">
        <v>747</v>
      </c>
    </row>
    <row r="28" spans="1:9" x14ac:dyDescent="0.3">
      <c r="A28" s="71"/>
      <c r="B28" s="71" t="s">
        <v>748</v>
      </c>
      <c r="C28" s="71"/>
      <c r="D28" s="71"/>
      <c r="E28" s="71"/>
      <c r="F28" s="71"/>
      <c r="G28" s="71"/>
      <c r="H28" s="71"/>
      <c r="I28" s="71"/>
    </row>
    <row r="29" spans="1:9" x14ac:dyDescent="0.3">
      <c r="A29" s="71" t="s">
        <v>749</v>
      </c>
      <c r="B29" s="71" t="s">
        <v>644</v>
      </c>
      <c r="C29" s="71" t="s">
        <v>645</v>
      </c>
      <c r="D29" s="72">
        <f>'02_TRU_T1'!D29</f>
        <v>8</v>
      </c>
      <c r="E29" s="72">
        <f>'02_TRU_T2'!D29</f>
        <v>8</v>
      </c>
      <c r="F29" s="72">
        <v>0</v>
      </c>
      <c r="G29" s="72">
        <f>D29+E29</f>
        <v>16</v>
      </c>
      <c r="H29" s="71" t="s">
        <v>646</v>
      </c>
      <c r="I29" s="71" t="s">
        <v>750</v>
      </c>
    </row>
    <row r="30" spans="1:9" x14ac:dyDescent="0.3">
      <c r="A30" s="71" t="s">
        <v>751</v>
      </c>
      <c r="B30" s="71" t="s">
        <v>648</v>
      </c>
      <c r="C30" s="71" t="s">
        <v>43</v>
      </c>
      <c r="D30" s="72">
        <f>'02_TRU_T1'!D30</f>
        <v>40</v>
      </c>
      <c r="E30" s="72">
        <f>'02_TRU_T2'!D30</f>
        <v>30</v>
      </c>
      <c r="F30" s="72">
        <f>E30-D30</f>
        <v>-10</v>
      </c>
      <c r="G30" s="71" t="s">
        <v>752</v>
      </c>
      <c r="H30" s="71" t="s">
        <v>753</v>
      </c>
      <c r="I30" s="71" t="s">
        <v>754</v>
      </c>
    </row>
    <row r="31" spans="1:9" x14ac:dyDescent="0.3">
      <c r="A31" s="71" t="s">
        <v>755</v>
      </c>
      <c r="B31" s="71" t="s">
        <v>651</v>
      </c>
      <c r="C31" s="71" t="s">
        <v>43</v>
      </c>
      <c r="D31" s="72">
        <f>'02_TRU_T1'!D31</f>
        <v>320</v>
      </c>
      <c r="E31" s="72">
        <f>'02_TRU_T2'!D31</f>
        <v>240</v>
      </c>
      <c r="F31" s="72">
        <f>E31-D31</f>
        <v>-80</v>
      </c>
      <c r="G31" s="72">
        <f>D31+E31</f>
        <v>560</v>
      </c>
      <c r="H31" s="71" t="s">
        <v>756</v>
      </c>
      <c r="I31" s="71" t="s">
        <v>757</v>
      </c>
    </row>
    <row r="32" spans="1:9" x14ac:dyDescent="0.3">
      <c r="A32" s="71" t="s">
        <v>758</v>
      </c>
      <c r="B32" s="71" t="s">
        <v>654</v>
      </c>
      <c r="C32" s="71" t="s">
        <v>17</v>
      </c>
      <c r="D32" s="72">
        <f>'02_TRU_T1'!D32</f>
        <v>369.14970316741505</v>
      </c>
      <c r="E32" s="72">
        <f>'02_TRU_T2'!D32</f>
        <v>276.86227737556123</v>
      </c>
      <c r="F32" s="72">
        <f>E32-D32</f>
        <v>-92.287425791853821</v>
      </c>
      <c r="G32" s="72">
        <f>D32+E32</f>
        <v>646.01198054297629</v>
      </c>
      <c r="H32" s="71" t="s">
        <v>759</v>
      </c>
      <c r="I32" s="71" t="s">
        <v>760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8"/>
  <sheetViews>
    <sheetView workbookViewId="0">
      <selection activeCell="J11" sqref="J11"/>
    </sheetView>
  </sheetViews>
  <sheetFormatPr defaultRowHeight="14" x14ac:dyDescent="0.3"/>
  <sheetData>
    <row r="1" spans="1:14" ht="20" customHeight="1" x14ac:dyDescent="0.55000000000000004">
      <c r="A1" s="73" t="s">
        <v>761</v>
      </c>
    </row>
    <row r="2" spans="1:14" ht="14.5" customHeight="1" x14ac:dyDescent="0.35">
      <c r="A2" s="74" t="s">
        <v>762</v>
      </c>
    </row>
    <row r="4" spans="1:14" ht="64" customHeight="1" x14ac:dyDescent="0.3">
      <c r="A4" s="70" t="s">
        <v>2</v>
      </c>
      <c r="B4" s="70" t="s">
        <v>763</v>
      </c>
      <c r="C4" s="70" t="s">
        <v>764</v>
      </c>
      <c r="D4" s="70" t="s">
        <v>765</v>
      </c>
      <c r="E4" s="70" t="s">
        <v>766</v>
      </c>
      <c r="F4" s="70" t="s">
        <v>767</v>
      </c>
      <c r="G4" s="70" t="s">
        <v>768</v>
      </c>
      <c r="H4" s="70" t="s">
        <v>769</v>
      </c>
      <c r="I4" s="70" t="s">
        <v>770</v>
      </c>
      <c r="J4" s="70" t="s">
        <v>771</v>
      </c>
      <c r="K4" s="70" t="s">
        <v>772</v>
      </c>
      <c r="L4" s="70" t="s">
        <v>773</v>
      </c>
      <c r="M4" s="70" t="s">
        <v>774</v>
      </c>
      <c r="N4" s="70" t="s">
        <v>775</v>
      </c>
    </row>
    <row r="5" spans="1:14" ht="14.5" customHeight="1" x14ac:dyDescent="0.35">
      <c r="A5" s="75">
        <v>1</v>
      </c>
      <c r="B5" s="75" t="s">
        <v>776</v>
      </c>
      <c r="C5" s="75">
        <v>32</v>
      </c>
      <c r="D5" s="75" t="s">
        <v>777</v>
      </c>
      <c r="E5" s="75">
        <v>14256</v>
      </c>
      <c r="F5" s="75">
        <v>14256</v>
      </c>
      <c r="G5" s="76">
        <f t="shared" ref="G5:G18" si="0">F5-E5</f>
        <v>0</v>
      </c>
      <c r="H5" s="75">
        <v>48</v>
      </c>
      <c r="I5" s="75">
        <v>48</v>
      </c>
      <c r="J5" s="77">
        <v>6.3129999999999997</v>
      </c>
      <c r="K5" s="78">
        <f t="shared" ref="K5:K18" si="1">E5*H5*J5/1000</f>
        <v>4319.9101439999995</v>
      </c>
      <c r="L5" s="78">
        <f t="shared" ref="L5:L18" si="2">F5*I5*J5/1000</f>
        <v>4319.9101439999995</v>
      </c>
      <c r="M5" s="78">
        <f t="shared" ref="M5:M18" si="3">L5-K5</f>
        <v>0</v>
      </c>
      <c r="N5" s="75" t="s">
        <v>778</v>
      </c>
    </row>
    <row r="6" spans="1:14" ht="14.5" customHeight="1" x14ac:dyDescent="0.35">
      <c r="A6" s="75">
        <v>2</v>
      </c>
      <c r="B6" s="75" t="s">
        <v>779</v>
      </c>
      <c r="C6" s="75">
        <v>16</v>
      </c>
      <c r="D6" s="75" t="s">
        <v>780</v>
      </c>
      <c r="E6" s="75">
        <v>4552</v>
      </c>
      <c r="F6" s="75">
        <v>4552</v>
      </c>
      <c r="G6" s="76">
        <f t="shared" si="0"/>
        <v>0</v>
      </c>
      <c r="H6" s="75">
        <v>96</v>
      </c>
      <c r="I6" s="75">
        <v>96</v>
      </c>
      <c r="J6" s="77">
        <v>1.5780000000000001</v>
      </c>
      <c r="K6" s="78">
        <f t="shared" si="1"/>
        <v>689.57337600000005</v>
      </c>
      <c r="L6" s="78">
        <f t="shared" si="2"/>
        <v>689.57337600000005</v>
      </c>
      <c r="M6" s="78">
        <f t="shared" si="3"/>
        <v>0</v>
      </c>
      <c r="N6" s="75" t="s">
        <v>781</v>
      </c>
    </row>
    <row r="7" spans="1:14" ht="14.5" customHeight="1" x14ac:dyDescent="0.35">
      <c r="A7" s="75">
        <v>3</v>
      </c>
      <c r="B7" s="75" t="s">
        <v>782</v>
      </c>
      <c r="C7" s="75">
        <v>16</v>
      </c>
      <c r="D7" s="75" t="s">
        <v>783</v>
      </c>
      <c r="E7" s="75">
        <v>3467</v>
      </c>
      <c r="F7" s="75">
        <v>3467</v>
      </c>
      <c r="G7" s="76">
        <f t="shared" si="0"/>
        <v>0</v>
      </c>
      <c r="H7" s="75">
        <v>96</v>
      </c>
      <c r="I7" s="75">
        <v>96</v>
      </c>
      <c r="J7" s="77">
        <v>1.5780000000000001</v>
      </c>
      <c r="K7" s="78">
        <f t="shared" si="1"/>
        <v>525.2088960000001</v>
      </c>
      <c r="L7" s="78">
        <f t="shared" si="2"/>
        <v>525.2088960000001</v>
      </c>
      <c r="M7" s="78">
        <f t="shared" si="3"/>
        <v>0</v>
      </c>
      <c r="N7" s="75" t="s">
        <v>784</v>
      </c>
    </row>
    <row r="8" spans="1:14" ht="14.5" customHeight="1" x14ac:dyDescent="0.35">
      <c r="A8" s="75">
        <v>4</v>
      </c>
      <c r="B8" s="75" t="s">
        <v>785</v>
      </c>
      <c r="C8" s="75">
        <v>16</v>
      </c>
      <c r="D8" s="75" t="s">
        <v>786</v>
      </c>
      <c r="E8" s="75">
        <v>5412</v>
      </c>
      <c r="F8" s="75">
        <v>5412</v>
      </c>
      <c r="G8" s="76">
        <f t="shared" si="0"/>
        <v>0</v>
      </c>
      <c r="H8" s="75">
        <v>48</v>
      </c>
      <c r="I8" s="75">
        <v>48</v>
      </c>
      <c r="J8" s="77">
        <v>1.5780000000000001</v>
      </c>
      <c r="K8" s="78">
        <f t="shared" si="1"/>
        <v>409.92652800000002</v>
      </c>
      <c r="L8" s="78">
        <f t="shared" si="2"/>
        <v>409.92652800000002</v>
      </c>
      <c r="M8" s="78">
        <f t="shared" si="3"/>
        <v>0</v>
      </c>
      <c r="N8" s="75" t="s">
        <v>787</v>
      </c>
    </row>
    <row r="9" spans="1:14" ht="14.5" customHeight="1" x14ac:dyDescent="0.35">
      <c r="A9" s="75">
        <v>5</v>
      </c>
      <c r="B9" s="75" t="s">
        <v>788</v>
      </c>
      <c r="C9" s="75">
        <v>32</v>
      </c>
      <c r="D9" s="75" t="s">
        <v>789</v>
      </c>
      <c r="E9" s="75">
        <v>13616</v>
      </c>
      <c r="F9" s="75">
        <v>13616</v>
      </c>
      <c r="G9" s="76">
        <f t="shared" si="0"/>
        <v>0</v>
      </c>
      <c r="H9" s="75">
        <v>48</v>
      </c>
      <c r="I9" s="75">
        <v>48</v>
      </c>
      <c r="J9" s="77">
        <v>6.3129999999999997</v>
      </c>
      <c r="K9" s="78">
        <f t="shared" si="1"/>
        <v>4125.974784</v>
      </c>
      <c r="L9" s="78">
        <f t="shared" si="2"/>
        <v>4125.974784</v>
      </c>
      <c r="M9" s="78">
        <f t="shared" si="3"/>
        <v>0</v>
      </c>
      <c r="N9" s="75" t="s">
        <v>790</v>
      </c>
    </row>
    <row r="10" spans="1:14" ht="14.5" customHeight="1" x14ac:dyDescent="0.35">
      <c r="A10" s="75">
        <v>6</v>
      </c>
      <c r="B10" s="75" t="s">
        <v>791</v>
      </c>
      <c r="C10" s="75">
        <v>16</v>
      </c>
      <c r="D10" s="75" t="s">
        <v>792</v>
      </c>
      <c r="E10" s="75">
        <v>5752</v>
      </c>
      <c r="F10" s="75">
        <v>5752</v>
      </c>
      <c r="G10" s="76">
        <f t="shared" si="0"/>
        <v>0</v>
      </c>
      <c r="H10" s="75">
        <v>96</v>
      </c>
      <c r="I10" s="75">
        <v>96</v>
      </c>
      <c r="J10" s="77">
        <v>1.5780000000000001</v>
      </c>
      <c r="K10" s="78">
        <f t="shared" si="1"/>
        <v>871.35897599999998</v>
      </c>
      <c r="L10" s="78">
        <f t="shared" si="2"/>
        <v>871.35897599999998</v>
      </c>
      <c r="M10" s="78">
        <f t="shared" si="3"/>
        <v>0</v>
      </c>
      <c r="N10" s="75" t="s">
        <v>793</v>
      </c>
    </row>
    <row r="11" spans="1:14" ht="14.5" customHeight="1" x14ac:dyDescent="0.35">
      <c r="A11" s="79">
        <v>7</v>
      </c>
      <c r="B11" s="79" t="s">
        <v>794</v>
      </c>
      <c r="C11" s="79">
        <v>32</v>
      </c>
      <c r="D11" s="79" t="s">
        <v>795</v>
      </c>
      <c r="E11" s="79">
        <v>6556</v>
      </c>
      <c r="F11" s="79">
        <v>8656</v>
      </c>
      <c r="G11" s="80">
        <f t="shared" si="0"/>
        <v>2100</v>
      </c>
      <c r="H11" s="79">
        <v>48</v>
      </c>
      <c r="I11" s="79">
        <v>48</v>
      </c>
      <c r="J11" s="81">
        <v>6.3129999999999997</v>
      </c>
      <c r="K11" s="82">
        <f t="shared" si="1"/>
        <v>1986.6253439999998</v>
      </c>
      <c r="L11" s="82">
        <f t="shared" si="2"/>
        <v>2622.9757439999998</v>
      </c>
      <c r="M11" s="82">
        <f t="shared" si="3"/>
        <v>636.35040000000004</v>
      </c>
      <c r="N11" s="79" t="s">
        <v>796</v>
      </c>
    </row>
    <row r="12" spans="1:14" ht="14.5" customHeight="1" x14ac:dyDescent="0.35">
      <c r="A12" s="75">
        <v>8</v>
      </c>
      <c r="B12" s="75" t="s">
        <v>797</v>
      </c>
      <c r="C12" s="75">
        <v>16</v>
      </c>
      <c r="D12" s="75" t="s">
        <v>798</v>
      </c>
      <c r="E12" s="75">
        <v>6952</v>
      </c>
      <c r="F12" s="75">
        <v>6952</v>
      </c>
      <c r="G12" s="76">
        <f t="shared" si="0"/>
        <v>0</v>
      </c>
      <c r="H12" s="75">
        <v>96</v>
      </c>
      <c r="I12" s="75">
        <v>96</v>
      </c>
      <c r="J12" s="77">
        <v>1.5780000000000001</v>
      </c>
      <c r="K12" s="78">
        <f t="shared" si="1"/>
        <v>1053.1445760000001</v>
      </c>
      <c r="L12" s="78">
        <f t="shared" si="2"/>
        <v>1053.1445760000001</v>
      </c>
      <c r="M12" s="78">
        <f t="shared" si="3"/>
        <v>0</v>
      </c>
      <c r="N12" s="75" t="s">
        <v>799</v>
      </c>
    </row>
    <row r="13" spans="1:14" ht="14.5" customHeight="1" x14ac:dyDescent="0.35">
      <c r="A13" s="75">
        <v>9</v>
      </c>
      <c r="B13" s="75" t="s">
        <v>800</v>
      </c>
      <c r="C13" s="75">
        <v>28</v>
      </c>
      <c r="D13" s="75" t="s">
        <v>801</v>
      </c>
      <c r="E13" s="75">
        <v>11696</v>
      </c>
      <c r="F13" s="75">
        <v>11696</v>
      </c>
      <c r="G13" s="76">
        <f t="shared" si="0"/>
        <v>0</v>
      </c>
      <c r="H13" s="75">
        <v>68</v>
      </c>
      <c r="I13" s="75">
        <v>68</v>
      </c>
      <c r="J13" s="77">
        <v>4.8330000000000002</v>
      </c>
      <c r="K13" s="78">
        <f t="shared" si="1"/>
        <v>3843.8202240000001</v>
      </c>
      <c r="L13" s="78">
        <f t="shared" si="2"/>
        <v>3843.8202240000001</v>
      </c>
      <c r="M13" s="78">
        <f t="shared" si="3"/>
        <v>0</v>
      </c>
      <c r="N13" s="75" t="s">
        <v>802</v>
      </c>
    </row>
    <row r="14" spans="1:14" ht="14.5" customHeight="1" x14ac:dyDescent="0.35">
      <c r="A14" s="75">
        <v>10</v>
      </c>
      <c r="B14" s="75" t="s">
        <v>803</v>
      </c>
      <c r="C14" s="75">
        <v>18</v>
      </c>
      <c r="D14" s="75" t="s">
        <v>804</v>
      </c>
      <c r="E14" s="75">
        <v>11376</v>
      </c>
      <c r="F14" s="75">
        <v>11376</v>
      </c>
      <c r="G14" s="76">
        <f t="shared" si="0"/>
        <v>0</v>
      </c>
      <c r="H14" s="75">
        <v>68</v>
      </c>
      <c r="I14" s="75">
        <v>68</v>
      </c>
      <c r="J14" s="77">
        <v>1.9970000000000001</v>
      </c>
      <c r="K14" s="78">
        <f t="shared" si="1"/>
        <v>1544.815296</v>
      </c>
      <c r="L14" s="78">
        <f t="shared" si="2"/>
        <v>1544.815296</v>
      </c>
      <c r="M14" s="78">
        <f t="shared" si="3"/>
        <v>0</v>
      </c>
      <c r="N14" s="75" t="s">
        <v>805</v>
      </c>
    </row>
    <row r="15" spans="1:14" ht="14.5" customHeight="1" x14ac:dyDescent="0.35">
      <c r="A15" s="75">
        <v>11</v>
      </c>
      <c r="B15" s="75" t="s">
        <v>806</v>
      </c>
      <c r="C15" s="75">
        <v>28</v>
      </c>
      <c r="D15" s="75" t="s">
        <v>807</v>
      </c>
      <c r="E15" s="75">
        <v>5696</v>
      </c>
      <c r="F15" s="75">
        <v>5696</v>
      </c>
      <c r="G15" s="76">
        <f t="shared" si="0"/>
        <v>0</v>
      </c>
      <c r="H15" s="75">
        <v>88</v>
      </c>
      <c r="I15" s="75">
        <v>88</v>
      </c>
      <c r="J15" s="77">
        <v>4.8330000000000002</v>
      </c>
      <c r="K15" s="78">
        <f t="shared" si="1"/>
        <v>2422.5315840000003</v>
      </c>
      <c r="L15" s="78">
        <f t="shared" si="2"/>
        <v>2422.5315840000003</v>
      </c>
      <c r="M15" s="78">
        <f t="shared" si="3"/>
        <v>0</v>
      </c>
      <c r="N15" s="75" t="s">
        <v>808</v>
      </c>
    </row>
    <row r="16" spans="1:14" ht="14.5" customHeight="1" x14ac:dyDescent="0.35">
      <c r="A16" s="75">
        <v>12</v>
      </c>
      <c r="B16" s="75" t="s">
        <v>809</v>
      </c>
      <c r="C16" s="75">
        <v>16</v>
      </c>
      <c r="D16" s="75" t="s">
        <v>810</v>
      </c>
      <c r="E16" s="75">
        <v>2070</v>
      </c>
      <c r="F16" s="75">
        <v>2070</v>
      </c>
      <c r="G16" s="76">
        <f t="shared" si="0"/>
        <v>0</v>
      </c>
      <c r="H16" s="75">
        <v>160</v>
      </c>
      <c r="I16" s="75">
        <v>160</v>
      </c>
      <c r="J16" s="77">
        <v>1.5780000000000001</v>
      </c>
      <c r="K16" s="78">
        <f t="shared" si="1"/>
        <v>522.6336</v>
      </c>
      <c r="L16" s="78">
        <f t="shared" si="2"/>
        <v>522.6336</v>
      </c>
      <c r="M16" s="78">
        <f t="shared" si="3"/>
        <v>0</v>
      </c>
      <c r="N16" s="75" t="s">
        <v>811</v>
      </c>
    </row>
    <row r="17" spans="1:14" ht="14.5" customHeight="1" x14ac:dyDescent="0.35">
      <c r="A17" s="75">
        <v>13</v>
      </c>
      <c r="B17" s="75" t="s">
        <v>812</v>
      </c>
      <c r="C17" s="75">
        <v>32</v>
      </c>
      <c r="D17" s="75" t="s">
        <v>813</v>
      </c>
      <c r="E17" s="75">
        <v>14792</v>
      </c>
      <c r="F17" s="75">
        <v>14792</v>
      </c>
      <c r="G17" s="76">
        <f t="shared" si="0"/>
        <v>0</v>
      </c>
      <c r="H17" s="75">
        <v>56</v>
      </c>
      <c r="I17" s="75">
        <v>56</v>
      </c>
      <c r="J17" s="77">
        <v>6.3129999999999997</v>
      </c>
      <c r="K17" s="78">
        <f t="shared" si="1"/>
        <v>5229.386176</v>
      </c>
      <c r="L17" s="78">
        <f t="shared" si="2"/>
        <v>5229.386176</v>
      </c>
      <c r="M17" s="78">
        <f t="shared" si="3"/>
        <v>0</v>
      </c>
      <c r="N17" s="75" t="s">
        <v>814</v>
      </c>
    </row>
    <row r="18" spans="1:14" ht="14.5" customHeight="1" x14ac:dyDescent="0.35">
      <c r="A18" s="75">
        <v>14</v>
      </c>
      <c r="B18" s="75" t="s">
        <v>815</v>
      </c>
      <c r="C18" s="75">
        <v>25</v>
      </c>
      <c r="D18" s="75" t="s">
        <v>816</v>
      </c>
      <c r="E18" s="75">
        <v>13983</v>
      </c>
      <c r="F18" s="75">
        <v>13983</v>
      </c>
      <c r="G18" s="76">
        <f t="shared" si="0"/>
        <v>0</v>
      </c>
      <c r="H18" s="75">
        <v>44</v>
      </c>
      <c r="I18" s="75">
        <v>44</v>
      </c>
      <c r="J18" s="77">
        <v>3.8530000000000002</v>
      </c>
      <c r="K18" s="78">
        <f t="shared" si="1"/>
        <v>2370.5659560000004</v>
      </c>
      <c r="L18" s="78">
        <f t="shared" si="2"/>
        <v>2370.5659560000004</v>
      </c>
      <c r="M18" s="78">
        <f t="shared" si="3"/>
        <v>0</v>
      </c>
      <c r="N18" s="75" t="s">
        <v>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/>
  </sheetViews>
  <sheetFormatPr defaultRowHeight="14" x14ac:dyDescent="0.3"/>
  <cols>
    <col min="1" max="1" width="6" customWidth="1"/>
    <col min="2" max="2" width="16" customWidth="1"/>
    <col min="3" max="3" width="14" customWidth="1"/>
    <col min="4" max="4" width="18" customWidth="1"/>
    <col min="5" max="5" width="20" customWidth="1"/>
    <col min="6" max="9" width="18" customWidth="1"/>
    <col min="10" max="10" width="20" customWidth="1"/>
    <col min="11" max="11" width="22" customWidth="1"/>
    <col min="12" max="12" width="35" customWidth="1"/>
  </cols>
  <sheetData>
    <row r="1" spans="1:12" ht="19.5" customHeight="1" x14ac:dyDescent="0.45">
      <c r="A1" s="2" t="s">
        <v>818</v>
      </c>
    </row>
    <row r="2" spans="1:12" ht="14.5" customHeight="1" x14ac:dyDescent="0.35">
      <c r="A2" s="1" t="s">
        <v>819</v>
      </c>
    </row>
    <row r="4" spans="1:12" x14ac:dyDescent="0.3">
      <c r="A4" s="3" t="s">
        <v>2</v>
      </c>
      <c r="B4" s="3" t="s">
        <v>820</v>
      </c>
      <c r="C4" s="3" t="s">
        <v>821</v>
      </c>
      <c r="D4" s="3" t="s">
        <v>822</v>
      </c>
      <c r="E4" s="3" t="s">
        <v>823</v>
      </c>
      <c r="F4" s="3" t="s">
        <v>824</v>
      </c>
      <c r="G4" s="3" t="s">
        <v>825</v>
      </c>
      <c r="H4" s="3" t="s">
        <v>826</v>
      </c>
      <c r="I4" s="3" t="s">
        <v>827</v>
      </c>
      <c r="J4" s="3" t="s">
        <v>828</v>
      </c>
      <c r="K4" s="3" t="s">
        <v>829</v>
      </c>
      <c r="L4" s="3" t="s">
        <v>830</v>
      </c>
    </row>
    <row r="5" spans="1:12" x14ac:dyDescent="0.3">
      <c r="A5" s="7">
        <v>1</v>
      </c>
      <c r="B5" s="8" t="s">
        <v>436</v>
      </c>
      <c r="C5" s="14">
        <v>3</v>
      </c>
      <c r="D5" s="9">
        <v>20</v>
      </c>
      <c r="E5" s="9">
        <f>C5*D5</f>
        <v>60</v>
      </c>
      <c r="F5" s="15">
        <v>191.23400000000001</v>
      </c>
      <c r="G5" s="15">
        <v>171.084</v>
      </c>
      <c r="H5" s="9">
        <v>70.739999999999995</v>
      </c>
      <c r="I5" s="9">
        <v>5436.32</v>
      </c>
      <c r="J5" s="9">
        <v>198</v>
      </c>
      <c r="K5" s="9">
        <v>63.6</v>
      </c>
      <c r="L5" s="8" t="s">
        <v>831</v>
      </c>
    </row>
    <row r="6" spans="1:12" x14ac:dyDescent="0.3">
      <c r="A6" s="7">
        <v>2</v>
      </c>
      <c r="B6" s="8" t="s">
        <v>832</v>
      </c>
      <c r="C6" s="14">
        <v>8</v>
      </c>
      <c r="D6" s="9">
        <v>40</v>
      </c>
      <c r="E6" s="9">
        <f>C6*D6</f>
        <v>320</v>
      </c>
      <c r="F6" s="15">
        <v>167.51</v>
      </c>
      <c r="G6" s="15">
        <v>127.36</v>
      </c>
      <c r="H6" s="9">
        <v>367.04</v>
      </c>
      <c r="I6" s="9">
        <v>14496.86</v>
      </c>
      <c r="J6" s="9">
        <v>1008</v>
      </c>
      <c r="K6" s="9">
        <v>329.6</v>
      </c>
      <c r="L6" s="8" t="s">
        <v>833</v>
      </c>
    </row>
    <row r="7" spans="1:12" x14ac:dyDescent="0.3">
      <c r="A7" s="7">
        <v>3</v>
      </c>
      <c r="B7" s="8" t="s">
        <v>834</v>
      </c>
      <c r="C7" s="14">
        <v>8</v>
      </c>
      <c r="D7" s="9">
        <v>30</v>
      </c>
      <c r="E7" s="9">
        <f>C7*D7</f>
        <v>240</v>
      </c>
      <c r="F7" s="15">
        <v>166.01</v>
      </c>
      <c r="G7" s="15">
        <v>135.86000000000001</v>
      </c>
      <c r="H7" s="9">
        <v>277.83999999999997</v>
      </c>
      <c r="I7" s="9">
        <v>14496.86</v>
      </c>
      <c r="J7" s="9">
        <v>768</v>
      </c>
      <c r="K7" s="9">
        <v>249.6</v>
      </c>
      <c r="L7" s="8" t="s">
        <v>835</v>
      </c>
    </row>
    <row r="8" spans="1:12" x14ac:dyDescent="0.3">
      <c r="A8" s="7">
        <v>4</v>
      </c>
      <c r="B8" s="8" t="s">
        <v>437</v>
      </c>
      <c r="C8" s="14">
        <v>7</v>
      </c>
      <c r="D8" s="9">
        <v>36</v>
      </c>
      <c r="E8" s="9">
        <f>C8*D8</f>
        <v>252</v>
      </c>
      <c r="F8" s="15">
        <v>186.98599999999999</v>
      </c>
      <c r="G8" s="15">
        <v>150.83600000000001</v>
      </c>
      <c r="H8" s="9">
        <v>290.92</v>
      </c>
      <c r="I8" s="9">
        <v>12679.44</v>
      </c>
      <c r="J8" s="9">
        <v>798</v>
      </c>
      <c r="K8" s="9">
        <v>260.39999999999998</v>
      </c>
      <c r="L8" s="8" t="s">
        <v>836</v>
      </c>
    </row>
    <row r="9" spans="1:12" x14ac:dyDescent="0.3">
      <c r="A9" s="10" t="s">
        <v>837</v>
      </c>
      <c r="B9" s="11" t="s">
        <v>838</v>
      </c>
      <c r="C9" s="16">
        <f>SUM(C5:C8)</f>
        <v>26</v>
      </c>
      <c r="D9" s="10" t="s">
        <v>752</v>
      </c>
      <c r="E9" s="16">
        <f>SUM(E5:E8)</f>
        <v>872</v>
      </c>
      <c r="F9" s="10" t="s">
        <v>752</v>
      </c>
      <c r="G9" s="10" t="s">
        <v>752</v>
      </c>
      <c r="H9" s="12">
        <f>SUM(H5:H8)</f>
        <v>1006.54</v>
      </c>
      <c r="I9" s="12">
        <f>SUM(I5:I8)</f>
        <v>47109.48</v>
      </c>
      <c r="J9" s="12">
        <f>SUM(J5:J8)</f>
        <v>2772</v>
      </c>
      <c r="K9" s="12">
        <f>SUM(K5:K8)</f>
        <v>903.2</v>
      </c>
      <c r="L9" s="11" t="s">
        <v>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00_DASHBOARD_365</vt:lpstr>
      <vt:lpstr>00_DIEN_GIAI_HINH_HOC_CAD</vt:lpstr>
      <vt:lpstr>00_TONG_HOP_HA_BO</vt:lpstr>
      <vt:lpstr>01_MO_M1_M2</vt:lpstr>
      <vt:lpstr>02_TRU_T1</vt:lpstr>
      <vt:lpstr>02_TRU_T2</vt:lpstr>
      <vt:lpstr>02_SO_SANH_T1_T2</vt:lpstr>
      <vt:lpstr>02b_BBS_THEP_TRU_T1_T2</vt:lpstr>
      <vt:lpstr>03_COC_D1200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nguyen</cp:lastModifiedBy>
  <dcterms:created xsi:type="dcterms:W3CDTF">2026-10-09T09:28:21Z</dcterms:created>
  <dcterms:modified xsi:type="dcterms:W3CDTF">2026-10-10T11:23:41Z</dcterms:modified>
</cp:coreProperties>
</file>