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87725FE-0224-4B91-86D3-DF4FC810026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3" r:id="rId1"/>
    <sheet name="Question" sheetId="6" r:id="rId2"/>
    <sheet name="Answer" sheetId="5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5" l="1"/>
  <c r="O29" i="5"/>
  <c r="O30" i="5"/>
  <c r="O31" i="5"/>
  <c r="O33" i="5"/>
  <c r="O34" i="5"/>
  <c r="O35" i="5"/>
  <c r="O26" i="5"/>
  <c r="O25" i="5"/>
  <c r="O23" i="5"/>
  <c r="O19" i="5"/>
  <c r="O20" i="5"/>
  <c r="O21" i="5"/>
  <c r="O22" i="5"/>
  <c r="D36" i="5"/>
  <c r="E36" i="5"/>
  <c r="F36" i="5"/>
  <c r="G36" i="5"/>
  <c r="H36" i="5"/>
  <c r="I36" i="5"/>
  <c r="J36" i="5"/>
  <c r="K36" i="5"/>
  <c r="L36" i="5"/>
  <c r="M36" i="5"/>
  <c r="N36" i="5"/>
  <c r="C36" i="5"/>
  <c r="O18" i="5"/>
  <c r="O9" i="5"/>
  <c r="O10" i="5"/>
  <c r="O11" i="5"/>
  <c r="O12" i="5"/>
  <c r="D13" i="5"/>
  <c r="D38" i="5" s="1"/>
  <c r="E13" i="5"/>
  <c r="F13" i="5"/>
  <c r="G13" i="5"/>
  <c r="H13" i="5"/>
  <c r="I13" i="5"/>
  <c r="J13" i="5"/>
  <c r="J38" i="5" s="1"/>
  <c r="K13" i="5"/>
  <c r="L13" i="5"/>
  <c r="L38" i="5" s="1"/>
  <c r="M13" i="5"/>
  <c r="N13" i="5"/>
  <c r="C13" i="5"/>
  <c r="B12" i="3"/>
  <c r="C29" i="3"/>
  <c r="D29" i="3"/>
  <c r="E29" i="3"/>
  <c r="F29" i="3"/>
  <c r="G29" i="3"/>
  <c r="H29" i="3"/>
  <c r="I29" i="3"/>
  <c r="J29" i="3"/>
  <c r="K29" i="3"/>
  <c r="L29" i="3"/>
  <c r="M29" i="3"/>
  <c r="B29" i="3"/>
  <c r="C12" i="3"/>
  <c r="D12" i="3"/>
  <c r="E12" i="3"/>
  <c r="F12" i="3"/>
  <c r="G12" i="3"/>
  <c r="H12" i="3"/>
  <c r="I12" i="3"/>
  <c r="J12" i="3"/>
  <c r="K12" i="3"/>
  <c r="L12" i="3"/>
  <c r="M12" i="3"/>
  <c r="N20" i="3"/>
  <c r="N28" i="3"/>
  <c r="N11" i="3"/>
  <c r="N10" i="3"/>
  <c r="N9" i="3"/>
  <c r="N8" i="3"/>
  <c r="N38" i="5" l="1"/>
  <c r="F38" i="5"/>
  <c r="K38" i="5"/>
  <c r="H38" i="5"/>
  <c r="I38" i="5"/>
  <c r="C38" i="5"/>
  <c r="G38" i="5"/>
  <c r="M38" i="5"/>
  <c r="E38" i="5"/>
  <c r="O36" i="5"/>
  <c r="O13" i="5"/>
  <c r="N12" i="3"/>
  <c r="N19" i="3"/>
  <c r="N24" i="3"/>
  <c r="N17" i="3"/>
  <c r="N23" i="3"/>
  <c r="N27" i="3"/>
  <c r="N26" i="3"/>
  <c r="N18" i="3"/>
  <c r="N21" i="3"/>
  <c r="E31" i="3"/>
  <c r="B31" i="3"/>
  <c r="D31" i="3"/>
  <c r="C31" i="3"/>
  <c r="O38" i="5" l="1"/>
  <c r="N29" i="3"/>
  <c r="N31" i="3" s="1"/>
</calcChain>
</file>

<file path=xl/sharedStrings.xml><?xml version="1.0" encoding="utf-8"?>
<sst xmlns="http://schemas.openxmlformats.org/spreadsheetml/2006/main" count="118" uniqueCount="61">
  <si>
    <t>Personal Income, Expense Tracker</t>
  </si>
  <si>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</si>
  <si>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</si>
  <si>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</si>
  <si>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</si>
  <si>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</si>
  <si>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</si>
  <si>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</si>
  <si>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</si>
  <si>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</si>
  <si>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</si>
  <si>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</si>
  <si>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</si>
  <si>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</si>
  <si>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</si>
  <si>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</si>
  <si>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</si>
  <si>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</si>
  <si>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Rental Income</t>
  </si>
  <si>
    <t>Dividend, Stock Gains</t>
  </si>
  <si>
    <t>Freelancing</t>
  </si>
  <si>
    <t>Total Income</t>
  </si>
  <si>
    <t>Expenses</t>
  </si>
  <si>
    <t>Housing</t>
  </si>
  <si>
    <t>Mortgage or 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</si>
  <si>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</si>
  <si>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</si>
  <si>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</si>
  <si>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</si>
  <si>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</si>
  <si>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</si>
  <si>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</si>
  <si>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</si>
  <si>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</si>
  <si>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Bus/Train/Taxi/Flight</t>
  </si>
  <si>
    <t>Vehicle maintenance</t>
  </si>
  <si>
    <t>Total Expenses</t>
  </si>
  <si>
    <t>Savings/Deficit</t>
  </si>
  <si>
    <t>Open personal_budget_preview.pdf.</t>
  </si>
  <si>
    <t>Here you will see an excel file preview of monthly income and expenses. You need to create a similar-looking excel file. </t>
  </si>
  <si>
    <t>Keep the following in mind:</t>
  </si>
  <si>
    <t>1. ) Use separate table objects for income and expenses.</t>
  </si>
  <si>
    <t>2. ) For totals in both tables, you can use the inbuilt Excel table total feature.</t>
  </si>
  <si>
    <t>3. ) Use conditional formatting to highlight monthly savings when they are below the monthly savings target that is specified at the top.</t>
  </si>
  <si>
    <t>4. ) You can add additional income and expense items. Also, fill out your own real expenses in this sheet on an ongoing basis so that you can track your monthly savings.</t>
  </si>
  <si>
    <t>5. ) In case you don't have an income right now, do this for your friend or family member.</t>
  </si>
  <si>
    <t>Monthly Savings Goal</t>
  </si>
  <si>
    <t>Sources</t>
  </si>
  <si>
    <t>Capital gain</t>
  </si>
  <si>
    <t>Ad-hoc</t>
  </si>
  <si>
    <t>Total</t>
  </si>
  <si>
    <t>Income ($)</t>
  </si>
  <si>
    <t>Expenses ($)</t>
  </si>
  <si>
    <t>Household</t>
  </si>
  <si>
    <t>wifi</t>
  </si>
  <si>
    <t>shopping</t>
  </si>
  <si>
    <t>fitness</t>
  </si>
  <si>
    <t>entertainment</t>
  </si>
  <si>
    <t>Items</t>
  </si>
  <si>
    <t>Order Food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</si>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</sst>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10" x14ac:knownFonts="1">
    <font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i/>
      <sz val="11"/>
      <color theme="1" tint="0.2499465926084170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1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164" fontId="5" fillId="0" borderId="0" applyFont="0" applyFill="0" applyBorder="0" applyAlignment="0" applyProtection="0"/>
    <xf numFmtId="14" fontId="5" fillId="0" borderId="0" applyFont="0" applyFill="0" applyBorder="0" applyAlignment="0" applyProtection="0"/>
  </cellStyleXfs>
  <cellXfs count="32">
    <xf numFmtId="0" fontId="0" fillId="0" borderId="0" xfId="0"/>
    <xf numFmtId="0" fontId="9" fillId="3" borderId="5" xfId="0" applyFont="1" applyFill="1" applyBorder="1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3" borderId="0" xfId="0" applyFont="1" applyFill="1"/>
    <xf numFmtId="0" fontId="4" fillId="5" borderId="0" xfId="0" applyFont="1" applyFill="1"/>
    <xf numFmtId="0" fontId="8" fillId="0" borderId="5" xfId="0" applyFont="1" applyBorder="1"/>
    <xf numFmtId="0" fontId="8" fillId="0" borderId="6" xfId="0" applyFont="1" applyBorder="1"/>
    <xf numFmtId="0" fontId="9" fillId="2" borderId="0" xfId="0" applyFont="1" applyFill="1"/>
    <xf numFmtId="0" fontId="8" fillId="2" borderId="0" xfId="0" applyFont="1" applyFill="1"/>
    <xf numFmtId="0" fontId="9" fillId="3" borderId="6" xfId="0" applyFont="1" applyFill="1" applyBorder="1"/>
    <xf numFmtId="0" fontId="9" fillId="3" borderId="7" xfId="0" applyFont="1" applyFill="1" applyBorder="1"/>
    <xf numFmtId="0" fontId="7" fillId="8" borderId="5" xfId="0" applyFont="1" applyFill="1" applyBorder="1"/>
    <xf numFmtId="0" fontId="7" fillId="8" borderId="7" xfId="0" applyFont="1" applyFill="1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7" xfId="0" applyFont="1" applyBorder="1"/>
    <xf numFmtId="0" fontId="7" fillId="0" borderId="14" xfId="0" applyFont="1" applyBorder="1"/>
    <xf numFmtId="0" fontId="7" fillId="4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</cellXfs>
  <cellStyles count="6"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 xr:uid="{70E46558-98AC-446F-861A-54F270CBD905}"/>
  </cellStyles>
  <dxfs count="1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3" defaultTableStyle="TableStyleMedium2" defaultPivotStyle="PivotStyleLight16">
    <tableStyle name="Address Book" pivot="0" count="3" xr9:uid="{00000000-0011-0000-FFFF-FFFF00000000}">
      <tableStyleElement type="wholeTable" dxfId="135"/>
      <tableStyleElement type="headerRow" dxfId="134"/>
      <tableStyleElement type="totalRow" dxfId="133"/>
    </tableStyle>
    <tableStyle name="Invisible" pivot="0" table="0" count="0" xr9:uid="{5947676C-0569-48DC-A7CB-C6B4FAB42FB4}"/>
    <tableStyle name="Personal monthly budget" pivot="0" count="7" xr9:uid="{DF2684C2-C435-47FA-9646-E632C3AE8948}">
      <tableStyleElement type="wholeTable" dxfId="132"/>
      <tableStyleElement type="headerRow" dxfId="131"/>
      <tableStyleElement type="totalRow" dxfId="130"/>
      <tableStyleElement type="firstColumn" dxfId="129"/>
      <tableStyleElement type="lastColumn" dxfId="128"/>
      <tableStyleElement type="firstRowStripe" dxfId="127"/>
      <tableStyleElement type="firstColumnStripe" dxfId="126"/>
    </tableStyle>
  </tableStyles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9E32E0-8D5F-403F-9C15-9B6B97C51ADE}" name="Expenses" displayName="Expenses" ref="A15:N29" totalsRowCount="1" headerRowDxfId="125" dataDxfId="124" totalsRowDxfId="123" totalsRowBorderDxfId="122">
  <autoFilter ref="A15:N28" xr:uid="{A39E32E0-8D5F-403F-9C15-9B6B97C51A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AB13096E-B66B-446F-A432-402906A6C1C5}" name="Item" totalsRowLabel="Total Expenses" dataDxfId="121" totalsRowDxfId="120"/>
    <tableColumn id="3" xr3:uid="{23850D5D-DBF9-45EA-8BA8-CFA1F2D676AB}" name="Jan" totalsRowFunction="custom" dataDxfId="119" totalsRowDxfId="118">
      <totalsRowFormula>IF(SUBTOTAL(109,Expenses[Jan])=0,"",SUBTOTAL(109,Expenses[Jan]))</totalsRowFormula>
    </tableColumn>
    <tableColumn id="4" xr3:uid="{D2F8C0DF-E5AB-4DE6-ACC2-55F0CE0F8ACC}" name="Feb" totalsRowFunction="custom" dataDxfId="117" totalsRowDxfId="116">
      <totalsRowFormula>IF(SUBTOTAL(109,Expenses[Feb])=0,"",SUBTOTAL(109,Expenses[Feb]))</totalsRowFormula>
    </tableColumn>
    <tableColumn id="5" xr3:uid="{5B67B754-11FF-43BB-9F47-81B31233A8CF}" name="Mar" totalsRowFunction="custom" dataDxfId="115" totalsRowDxfId="114">
      <totalsRowFormula>IF(SUBTOTAL(109,Expenses[Mar])=0,"",SUBTOTAL(109,Expenses[Mar]))</totalsRowFormula>
    </tableColumn>
    <tableColumn id="1" xr3:uid="{0FE7C175-54CE-4155-AA8A-4D3628288BDA}" name="Apr" totalsRowFunction="custom" dataDxfId="113" totalsRowDxfId="112">
      <totalsRowFormula>IF(SUBTOTAL(109,Expenses[Apr])=0,"",SUBTOTAL(109,Expenses[Apr]))</totalsRowFormula>
    </tableColumn>
    <tableColumn id="6" xr3:uid="{0736634A-CF71-4811-B756-961C6BF2C622}" name="May" totalsRowFunction="custom" dataDxfId="111" totalsRowDxfId="110">
      <totalsRowFormula>IF(SUBTOTAL(109,Expenses[May])=0,"",SUBTOTAL(109,Expenses[May]))</totalsRowFormula>
    </tableColumn>
    <tableColumn id="7" xr3:uid="{F2DE991A-14AC-4E4B-9432-51F82265B34D}" name="Jun" totalsRowFunction="custom" dataDxfId="109" totalsRowDxfId="108">
      <totalsRowFormula>IF(SUBTOTAL(109,Expenses[Jun])=0,"",SUBTOTAL(109,Expenses[Jun]))</totalsRowFormula>
    </tableColumn>
    <tableColumn id="8" xr3:uid="{2C1DCFE0-CF3A-468A-9474-41827D6E05C6}" name="Jul" totalsRowFunction="custom" dataDxfId="107" totalsRowDxfId="106">
      <totalsRowFormula>IF(SUBTOTAL(109,Expenses[Jul])=0,"",SUBTOTAL(109,Expenses[Jul]))</totalsRowFormula>
    </tableColumn>
    <tableColumn id="9" xr3:uid="{C8ED35B3-D506-46D7-81EC-F0BBE946D38F}" name="Aug" totalsRowFunction="custom" dataDxfId="105" totalsRowDxfId="104">
      <totalsRowFormula>IF(SUBTOTAL(109,Expenses[Aug])=0,"",SUBTOTAL(109,Expenses[Aug]))</totalsRowFormula>
    </tableColumn>
    <tableColumn id="10" xr3:uid="{5E2E5FF2-65FD-48FC-8968-C36D680F6A5E}" name="Sep" totalsRowFunction="custom" dataDxfId="103" totalsRowDxfId="102">
      <totalsRowFormula>IF(SUBTOTAL(109,Expenses[Sep])=0,"",SUBTOTAL(109,Expenses[Sep]))</totalsRowFormula>
    </tableColumn>
    <tableColumn id="11" xr3:uid="{0049F405-CF5F-421E-A3E4-466932A07102}" name="Oct" totalsRowFunction="custom" dataDxfId="101" totalsRowDxfId="100">
      <totalsRowFormula>IF(SUBTOTAL(109,Expenses[Oct])=0,"",SUBTOTAL(109,Expenses[Oct]))</totalsRowFormula>
    </tableColumn>
    <tableColumn id="12" xr3:uid="{541315EE-55BA-45D1-85BE-1C1A338A1AA4}" name="Nov" totalsRowFunction="custom" dataDxfId="99" totalsRowDxfId="98">
      <totalsRowFormula>IF(SUBTOTAL(109,Expenses[Nov])=0,"",SUBTOTAL(109,Expenses[Nov]))</totalsRowFormula>
    </tableColumn>
    <tableColumn id="13" xr3:uid="{C97BD1CD-8E73-4A33-A81C-FEF51805BE2C}" name="Dec" totalsRowFunction="custom" dataDxfId="97" totalsRowDxfId="96">
      <totalsRowFormula>IF(SUBTOTAL(109,Expenses[Dec])=0,"",SUBTOTAL(109,Expenses[Dec]))</totalsRowFormula>
    </tableColumn>
    <tableColumn id="14" xr3:uid="{3C7367CA-C2D6-4C59-B277-1B0CD5D1F22C}" name="Year To Date" totalsRowFunction="custom" dataDxfId="95" totalsRowDxfId="94">
      <calculatedColumnFormula>SUM(Expenses[[#This Row],[Jan]:[Dec]])</calculatedColumnFormula>
      <totalsRowFormula>IF(SUBTOTAL(109,Expenses[Year To Date])=0,"",SUBTOTAL(109,Expenses[Year To Date]))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F3A983-0761-4C98-BC94-5DB6E9233653}" name="Income" displayName="Income" ref="A7:N12" totalsRowCount="1" headerRowDxfId="93" dataDxfId="92" totalsRowDxfId="91" totalsRowBorderDxfId="90">
  <autoFilter ref="A7:N11" xr:uid="{D4F3A983-0761-4C98-BC94-5DB6E92336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FA4E3ABA-8CBE-4B65-9157-C3804C0034A8}" name="Item" totalsRowLabel="Total Income" dataDxfId="89" totalsRowDxfId="88"/>
    <tableColumn id="3" xr3:uid="{48A6DFFF-8196-4C72-B39A-D08974D2DA8D}" name="Jan" totalsRowFunction="custom" dataDxfId="87" totalsRowDxfId="86">
      <totalsRowFormula>IF(SUBTOTAL(109,Income[Jan])=0,"",SUBTOTAL(109,Income[Jan]))</totalsRowFormula>
    </tableColumn>
    <tableColumn id="4" xr3:uid="{7B392E25-9E59-42D0-BAAB-FF6472232B61}" name="Feb" totalsRowFunction="custom" dataDxfId="85" totalsRowDxfId="84">
      <totalsRowFormula>IF(SUBTOTAL(109,Income[Feb])=0,"",SUBTOTAL(109,Income[Feb]))</totalsRowFormula>
    </tableColumn>
    <tableColumn id="5" xr3:uid="{9D43EC2F-E65E-4042-8002-60EF534FA550}" name="Mar" totalsRowFunction="custom" dataDxfId="83" totalsRowDxfId="82">
      <totalsRowFormula>IF(SUBTOTAL(109,Income[Mar])=0,"",SUBTOTAL(109,Income[Mar]))</totalsRowFormula>
    </tableColumn>
    <tableColumn id="1" xr3:uid="{DD24C3D9-6F29-4BCC-8D9D-B7C5DD5CBF8B}" name="Apr" totalsRowFunction="custom" dataDxfId="81" totalsRowDxfId="80">
      <totalsRowFormula>IF(SUBTOTAL(109,Income[Apr])=0,"",SUBTOTAL(109,Income[Apr]))</totalsRowFormula>
    </tableColumn>
    <tableColumn id="6" xr3:uid="{75B33925-0BAB-4482-8F81-AFD649E0E13F}" name="May" totalsRowFunction="custom" dataDxfId="79" totalsRowDxfId="78">
      <totalsRowFormula>IF(SUBTOTAL(109,Income[May])=0,"",SUBTOTAL(109,Income[May]))</totalsRowFormula>
    </tableColumn>
    <tableColumn id="7" xr3:uid="{00BB9E27-AC5F-49DF-9B4C-ECDE6B8FA38B}" name="Jun" totalsRowFunction="custom" dataDxfId="77" totalsRowDxfId="76">
      <totalsRowFormula>IF(SUBTOTAL(109,Income[Jun])=0,"",SUBTOTAL(109,Income[Jun]))</totalsRowFormula>
    </tableColumn>
    <tableColumn id="8" xr3:uid="{0CD2DD4A-2A9D-4904-B724-84B86DB2FA1B}" name="Jul" totalsRowFunction="custom" dataDxfId="75" totalsRowDxfId="74">
      <totalsRowFormula>IF(SUBTOTAL(109,Income[Jul])=0,"",SUBTOTAL(109,Income[Jul]))</totalsRowFormula>
    </tableColumn>
    <tableColumn id="9" xr3:uid="{BC92CB31-D6A1-45CE-B6F5-84D0780D9BC7}" name="Aug" totalsRowFunction="custom" dataDxfId="73" totalsRowDxfId="72">
      <totalsRowFormula>IF(SUBTOTAL(109,Income[Aug])=0,"",SUBTOTAL(109,Income[Aug]))</totalsRowFormula>
    </tableColumn>
    <tableColumn id="10" xr3:uid="{591D579B-1A22-4CCC-B250-23086CF4699D}" name="Sep" totalsRowFunction="custom" dataDxfId="71" totalsRowDxfId="70">
      <totalsRowFormula>IF(SUBTOTAL(109,Income[Sep])=0,"",SUBTOTAL(109,Income[Sep]))</totalsRowFormula>
    </tableColumn>
    <tableColumn id="11" xr3:uid="{EF736585-71F4-4687-A131-6D4859926DF0}" name="Oct" totalsRowFunction="custom" dataDxfId="69" totalsRowDxfId="68">
      <totalsRowFormula>IF(SUBTOTAL(109,Income[Oct])=0,"",SUBTOTAL(109,Income[Oct]))</totalsRowFormula>
    </tableColumn>
    <tableColumn id="12" xr3:uid="{CC69DA39-8E24-4C67-BCFA-62C616D5C24E}" name="Nov" totalsRowFunction="custom" dataDxfId="67" totalsRowDxfId="66">
      <totalsRowFormula>IF(SUBTOTAL(109,Income[Nov])=0,"",SUBTOTAL(109,Income[Nov]))</totalsRowFormula>
    </tableColumn>
    <tableColumn id="13" xr3:uid="{1763D959-A08E-4D31-A3D5-6E63A5BA9F2E}" name="Dec" totalsRowFunction="custom" dataDxfId="65" totalsRowDxfId="64">
      <totalsRowFormula>IF(SUBTOTAL(109,Income[Dec])=0,"",SUBTOTAL(109,Income[Dec]))</totalsRowFormula>
    </tableColumn>
    <tableColumn id="14" xr3:uid="{67563E17-3061-4048-9514-DCDC17D80B24}" name="Year To Date" totalsRowFunction="custom" dataDxfId="63" totalsRowDxfId="62">
      <calculatedColumnFormula>SUM(Income[[#This Row],[Jan]:[Dec]])</calculatedColumnFormula>
      <totalsRowFormula>IF(SUBTOTAL(109,Income[Year To Date])=0,"",SUBTOTAL(109,Income[Year To Date]))</totalsRow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B5A824-A0FB-4715-B9A5-16D8657EF9C1}" name="Income1" displayName="Income1" ref="B8:O13" totalsRowCount="1" headerRowDxfId="61" dataDxfId="60">
  <autoFilter ref="B8:O12" xr:uid="{47B5A824-A0FB-4715-B9A5-16D8657EF9C1}"/>
  <tableColumns count="14">
    <tableColumn id="1" xr3:uid="{2E803E3C-D964-44AD-B537-629071ED07FE}" name="Sources" totalsRowLabel="Total" dataDxfId="59" totalsRowDxfId="58"/>
    <tableColumn id="2" xr3:uid="{6EFEAC1C-E395-4E68-9A8F-390C1903594F}" name="Jan" totalsRowFunction="sum" dataDxfId="57" totalsRowDxfId="56"/>
    <tableColumn id="3" xr3:uid="{2167C0BC-6D56-4E6A-9248-3B5132061DBF}" name="Feb" totalsRowFunction="sum" dataDxfId="55" totalsRowDxfId="54"/>
    <tableColumn id="4" xr3:uid="{1067EF9E-73EB-4ACA-8266-E1E4D03BA27C}" name="Mar" totalsRowFunction="sum" dataDxfId="53" totalsRowDxfId="52"/>
    <tableColumn id="5" xr3:uid="{618A2E3C-8CE0-4DE0-A27B-408806BCE31C}" name="Apr" totalsRowFunction="sum" dataDxfId="51" totalsRowDxfId="50"/>
    <tableColumn id="6" xr3:uid="{E44B754C-DC1E-4FCB-AFB4-06574DE65392}" name="May" totalsRowFunction="sum" dataDxfId="49" totalsRowDxfId="48"/>
    <tableColumn id="7" xr3:uid="{2DCB5040-32E5-4861-8C78-F379C073959C}" name="Jun" totalsRowFunction="sum" dataDxfId="47" totalsRowDxfId="46"/>
    <tableColumn id="8" xr3:uid="{18A9297B-32EF-45B9-B05F-F174537C2D44}" name="Jul" totalsRowFunction="sum" dataDxfId="45" totalsRowDxfId="44"/>
    <tableColumn id="9" xr3:uid="{7E65D5F3-1E46-434E-9218-108437B9F89B}" name="Aug" totalsRowFunction="sum" dataDxfId="43" totalsRowDxfId="42"/>
    <tableColumn id="10" xr3:uid="{0AFB6D6E-AEAC-4A52-9F63-34B8965340EB}" name="Sep" totalsRowFunction="sum" dataDxfId="41" totalsRowDxfId="40"/>
    <tableColumn id="11" xr3:uid="{3BE29BFC-C68F-4884-99BE-A134F762889C}" name="Oct" totalsRowFunction="sum" dataDxfId="39" totalsRowDxfId="38"/>
    <tableColumn id="12" xr3:uid="{595A0C42-1D80-44EB-A70C-29C315FC1C4A}" name="Nov" totalsRowFunction="sum" dataDxfId="37" totalsRowDxfId="36"/>
    <tableColumn id="13" xr3:uid="{369F6CA3-5377-421E-BD4A-65DAC8F3901C}" name="Dec" totalsRowFunction="sum" dataDxfId="35" totalsRowDxfId="34"/>
    <tableColumn id="14" xr3:uid="{8916C219-4C51-4627-82EC-DC62C6AA8C46}" name="Year To Date" totalsRowFunction="sum" dataDxfId="33" totalsRowDxfId="32">
      <calculatedColumnFormula>SUM(Income1[[#This Row],[Jan]:[Dec]])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E6716C-82C3-467C-9123-185E5D94BBC6}" name="Expense" displayName="Expense" ref="B16:O36" totalsRowCount="1" headerRowDxfId="31" dataDxfId="30">
  <autoFilter ref="B16:O35" xr:uid="{7DE6716C-82C3-467C-9123-185E5D94BBC6}"/>
  <tableColumns count="14">
    <tableColumn id="1" xr3:uid="{D93F4D28-BE6B-4F2E-B63B-36718B4D1D7D}" name="Items" totalsRowLabel="Total" dataDxfId="29" totalsRowDxfId="28"/>
    <tableColumn id="2" xr3:uid="{40B0AFA5-182E-4880-A7E4-C9A5F2814322}" name="Jan" totalsRowFunction="sum" dataDxfId="27" totalsRowDxfId="26"/>
    <tableColumn id="3" xr3:uid="{311EF047-506C-42B4-B106-34C55BA1946E}" name="Feb" totalsRowFunction="sum" dataDxfId="25" totalsRowDxfId="24"/>
    <tableColumn id="4" xr3:uid="{8BECBAEC-7725-4196-81DE-CAC0D95C34A2}" name="Mar" totalsRowFunction="sum" dataDxfId="23" totalsRowDxfId="22"/>
    <tableColumn id="5" xr3:uid="{ED25189A-47B0-41C9-89B4-8B62CE87ACF8}" name="Apr" totalsRowFunction="sum" dataDxfId="21" totalsRowDxfId="20"/>
    <tableColumn id="6" xr3:uid="{04A06913-B5A4-4670-90F4-B208142BD572}" name="May" totalsRowFunction="sum" dataDxfId="19" totalsRowDxfId="18"/>
    <tableColumn id="7" xr3:uid="{848707E5-5753-48FC-8CFD-FA497875BE5E}" name="Jun" totalsRowFunction="sum" dataDxfId="17" totalsRowDxfId="16"/>
    <tableColumn id="8" xr3:uid="{D8600009-6C45-4F0F-989F-CD659B3E09C9}" name="Jul" totalsRowFunction="sum" dataDxfId="15" totalsRowDxfId="14"/>
    <tableColumn id="9" xr3:uid="{D35EE1CB-54CC-458F-852F-183DE8EC9FA3}" name="Aug" totalsRowFunction="sum" dataDxfId="13" totalsRowDxfId="12"/>
    <tableColumn id="10" xr3:uid="{9558DED7-22F4-4E88-BBB7-6993E0C74C7B}" name="Sep" totalsRowFunction="sum" dataDxfId="11" totalsRowDxfId="10"/>
    <tableColumn id="11" xr3:uid="{65E19F2B-542C-4934-91BA-007982A9BB05}" name="Oct" totalsRowFunction="sum" dataDxfId="9" totalsRowDxfId="8"/>
    <tableColumn id="12" xr3:uid="{B574CB3D-0F25-4C3F-99CB-BEB32628D45D}" name="Nov" totalsRowFunction="sum" dataDxfId="7" totalsRowDxfId="6"/>
    <tableColumn id="13" xr3:uid="{024B2507-6521-405D-8E04-00D4E153A725}" name="Dec" totalsRowFunction="sum" dataDxfId="5" totalsRowDxfId="4"/>
    <tableColumn id="14" xr3:uid="{6EBE25FE-FC91-468A-ADDD-17D0F8476AB4}" name="Year To Date" totalsRowFunction="sum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C52-C319-4FB8-8175-B01EBB2AAFB7}">
  <dimension ref="A1:N31"/>
  <sheetViews>
    <sheetView showGridLines="0" zoomScale="115" zoomScaleNormal="115" workbookViewId="0">
      <selection activeCell="N8" sqref="N8"/>
    </sheetView>
  </sheetViews>
  <sheetFormatPr defaultRowHeight="15" x14ac:dyDescent="0.25"/>
  <cols>
    <col min="1" max="1" width="18.42578125" style="2" customWidth="1"/>
    <col min="2" max="2" width="8.5703125" style="2" customWidth="1"/>
    <col min="3" max="3" width="8.7109375" style="2" customWidth="1"/>
    <col min="4" max="4" width="7.85546875" style="2" customWidth="1"/>
    <col min="5" max="5" width="9.140625" style="2" customWidth="1"/>
    <col min="6" max="6" width="8.5703125" style="2" customWidth="1"/>
    <col min="7" max="8" width="8.28515625" style="2" customWidth="1"/>
    <col min="9" max="9" width="8" style="2" customWidth="1"/>
    <col min="10" max="10" width="7.85546875" style="2" customWidth="1"/>
    <col min="11" max="11" width="7.28515625" style="2" customWidth="1"/>
    <col min="12" max="12" width="8" style="2" customWidth="1"/>
    <col min="13" max="13" width="7.7109375" style="2" customWidth="1"/>
    <col min="14" max="14" width="11.85546875" style="2" customWidth="1"/>
    <col min="15" max="16384" width="9.140625" style="2"/>
  </cols>
  <sheetData>
    <row r="1" spans="1:14" ht="12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2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.75" customHeight="1" x14ac:dyDescent="0.25">
      <c r="A4" s="4" t="s">
        <v>1</v>
      </c>
      <c r="B4" s="4"/>
      <c r="C4" s="4"/>
      <c r="D4" s="4">
        <v>40000</v>
      </c>
      <c r="E4" s="3"/>
      <c r="F4" s="3"/>
      <c r="G4" s="3"/>
      <c r="H4" s="3"/>
      <c r="I4" s="3"/>
      <c r="J4" s="3"/>
      <c r="K4" s="3"/>
      <c r="L4" s="3"/>
      <c r="M4" s="3"/>
      <c r="N4" s="3"/>
    </row>
    <row r="6" spans="1:14" x14ac:dyDescent="0.25">
      <c r="A6" s="21" t="s">
        <v>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</row>
    <row r="8" spans="1:14" x14ac:dyDescent="0.25">
      <c r="A8" s="2" t="s">
        <v>17</v>
      </c>
      <c r="B8" s="2">
        <v>60000</v>
      </c>
      <c r="C8" s="2">
        <v>60000</v>
      </c>
      <c r="D8" s="2">
        <v>60000</v>
      </c>
      <c r="E8" s="2">
        <v>75000</v>
      </c>
      <c r="N8" s="2">
        <f>SUM(Income[[#This Row],[Jan]:[Dec]])</f>
        <v>255000</v>
      </c>
    </row>
    <row r="9" spans="1:14" x14ac:dyDescent="0.25">
      <c r="A9" s="2" t="s">
        <v>18</v>
      </c>
      <c r="B9" s="2">
        <v>14000</v>
      </c>
      <c r="C9" s="2">
        <v>14000</v>
      </c>
      <c r="D9" s="2">
        <v>0</v>
      </c>
      <c r="E9" s="2">
        <v>15000</v>
      </c>
      <c r="N9" s="2">
        <f>SUM(Income[[#This Row],[Jan]:[Dec]])</f>
        <v>43000</v>
      </c>
    </row>
    <row r="10" spans="1:14" x14ac:dyDescent="0.25">
      <c r="A10" s="2" t="s">
        <v>19</v>
      </c>
      <c r="B10" s="2">
        <v>2000</v>
      </c>
      <c r="C10" s="2">
        <v>600</v>
      </c>
      <c r="D10" s="2">
        <v>1400</v>
      </c>
      <c r="E10" s="2">
        <v>0</v>
      </c>
      <c r="N10" s="2">
        <f>SUM(Income[[#This Row],[Jan]:[Dec]])</f>
        <v>4000</v>
      </c>
    </row>
    <row r="11" spans="1:14" x14ac:dyDescent="0.25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N11" s="2">
        <f>SUM(Income[[#This Row],[Jan]:[Dec]])</f>
        <v>0</v>
      </c>
    </row>
    <row r="12" spans="1:14" x14ac:dyDescent="0.25">
      <c r="A12" s="6" t="s">
        <v>21</v>
      </c>
      <c r="B12" s="7">
        <f>IF(SUBTOTAL(109,Income[Jan])=0,"",SUBTOTAL(109,Income[Jan]))</f>
        <v>76000</v>
      </c>
      <c r="C12" s="7">
        <f>IF(SUBTOTAL(109,Income[Feb])=0,"",SUBTOTAL(109,Income[Feb]))</f>
        <v>74600</v>
      </c>
      <c r="D12" s="7">
        <f>IF(SUBTOTAL(109,Income[Mar])=0,"",SUBTOTAL(109,Income[Mar]))</f>
        <v>61400</v>
      </c>
      <c r="E12" s="7">
        <f>IF(SUBTOTAL(109,Income[Apr])=0,"",SUBTOTAL(109,Income[Apr]))</f>
        <v>90000</v>
      </c>
      <c r="F12" s="7" t="str">
        <f>IF(SUBTOTAL(109,Income[May])=0,"",SUBTOTAL(109,Income[May]))</f>
        <v/>
      </c>
      <c r="G12" s="7" t="str">
        <f>IF(SUBTOTAL(109,Income[Jun])=0,"",SUBTOTAL(109,Income[Jun]))</f>
        <v/>
      </c>
      <c r="H12" s="7" t="str">
        <f>IF(SUBTOTAL(109,Income[Jul])=0,"",SUBTOTAL(109,Income[Jul]))</f>
        <v/>
      </c>
      <c r="I12" s="7" t="str">
        <f>IF(SUBTOTAL(109,Income[Aug])=0,"",SUBTOTAL(109,Income[Aug]))</f>
        <v/>
      </c>
      <c r="J12" s="7" t="str">
        <f>IF(SUBTOTAL(109,Income[Sep])=0,"",SUBTOTAL(109,Income[Sep]))</f>
        <v/>
      </c>
      <c r="K12" s="7" t="str">
        <f>IF(SUBTOTAL(109,Income[Oct])=0,"",SUBTOTAL(109,Income[Oct]))</f>
        <v/>
      </c>
      <c r="L12" s="7" t="str">
        <f>IF(SUBTOTAL(109,Income[Nov])=0,"",SUBTOTAL(109,Income[Nov]))</f>
        <v/>
      </c>
      <c r="M12" s="7" t="str">
        <f>IF(SUBTOTAL(109,Income[Dec])=0,"",SUBTOTAL(109,Income[Dec]))</f>
        <v/>
      </c>
      <c r="N12" s="7">
        <f>IF(SUBTOTAL(109,Income[Year To Date])=0,"",SUBTOTAL(109,Income[Year To Date]))</f>
        <v>302000</v>
      </c>
    </row>
    <row r="14" spans="1:14" x14ac:dyDescent="0.25">
      <c r="A14" s="21" t="s">
        <v>22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x14ac:dyDescent="0.25">
      <c r="A15" s="5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</row>
    <row r="16" spans="1:14" x14ac:dyDescent="0.25">
      <c r="A16" s="8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2" t="s">
        <v>24</v>
      </c>
      <c r="B17" s="2">
        <v>23000</v>
      </c>
      <c r="C17" s="2">
        <v>23000</v>
      </c>
      <c r="D17" s="2">
        <v>23000</v>
      </c>
      <c r="E17" s="2">
        <v>22500</v>
      </c>
      <c r="N17" s="2">
        <f>SUM(Expenses[[#This Row],[Jan]:[Dec]])</f>
        <v>91500</v>
      </c>
    </row>
    <row r="18" spans="1:14" x14ac:dyDescent="0.25">
      <c r="A18" s="2" t="s">
        <v>25</v>
      </c>
      <c r="B18" s="2">
        <v>400</v>
      </c>
      <c r="C18" s="2">
        <v>400</v>
      </c>
      <c r="D18" s="2">
        <v>400</v>
      </c>
      <c r="E18" s="2">
        <v>400</v>
      </c>
      <c r="N18" s="2">
        <f>SUM(Expenses[[#This Row],[Jan]:[Dec]])</f>
        <v>1600</v>
      </c>
    </row>
    <row r="19" spans="1:14" x14ac:dyDescent="0.25">
      <c r="A19" s="2" t="s">
        <v>26</v>
      </c>
      <c r="B19" s="2">
        <v>1700</v>
      </c>
      <c r="C19" s="2">
        <v>1600</v>
      </c>
      <c r="D19" s="2">
        <v>2300</v>
      </c>
      <c r="E19" s="2">
        <v>2800</v>
      </c>
      <c r="N19" s="2">
        <f>SUM(Expenses[[#This Row],[Jan]:[Dec]])</f>
        <v>8400</v>
      </c>
    </row>
    <row r="20" spans="1:14" x14ac:dyDescent="0.25">
      <c r="A20" s="2" t="s">
        <v>27</v>
      </c>
      <c r="B20" s="2">
        <v>800</v>
      </c>
      <c r="C20" s="2">
        <v>950</v>
      </c>
      <c r="D20" s="2">
        <v>940</v>
      </c>
      <c r="E20" s="2">
        <v>1020</v>
      </c>
      <c r="N20" s="2">
        <f>SUM(Expenses[[#This Row],[Jan]:[Dec]])</f>
        <v>3710</v>
      </c>
    </row>
    <row r="21" spans="1:14" x14ac:dyDescent="0.25">
      <c r="A21" s="2" t="s">
        <v>28</v>
      </c>
      <c r="B21" s="2">
        <v>600</v>
      </c>
      <c r="C21" s="2">
        <v>230</v>
      </c>
      <c r="D21" s="2">
        <v>2350</v>
      </c>
      <c r="E21" s="2">
        <v>1540</v>
      </c>
      <c r="N21" s="2">
        <f>SUM(Expenses[[#This Row],[Jan]:[Dec]])</f>
        <v>4720</v>
      </c>
    </row>
    <row r="22" spans="1:14" x14ac:dyDescent="0.25">
      <c r="A22" s="8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2" t="s">
        <v>30</v>
      </c>
      <c r="B23" s="2">
        <v>200</v>
      </c>
      <c r="C23" s="2">
        <v>180</v>
      </c>
      <c r="D23" s="2">
        <v>160</v>
      </c>
      <c r="E23" s="2">
        <v>210</v>
      </c>
      <c r="N23" s="2">
        <f>SUM(Expenses[[#This Row],[Jan]:[Dec]])</f>
        <v>750</v>
      </c>
    </row>
    <row r="24" spans="1:14" x14ac:dyDescent="0.25">
      <c r="A24" s="2" t="s">
        <v>31</v>
      </c>
      <c r="B24" s="2">
        <v>50</v>
      </c>
      <c r="C24" s="2">
        <v>45</v>
      </c>
      <c r="D24" s="2">
        <v>37</v>
      </c>
      <c r="E24" s="2">
        <v>0</v>
      </c>
      <c r="N24" s="2">
        <f>SUM(Expenses[[#This Row],[Jan]:[Dec]])</f>
        <v>132</v>
      </c>
    </row>
    <row r="25" spans="1:14" x14ac:dyDescent="0.25">
      <c r="A25" s="8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2" t="s">
        <v>33</v>
      </c>
      <c r="B26" s="2">
        <v>125</v>
      </c>
      <c r="C26" s="2">
        <v>100</v>
      </c>
      <c r="D26" s="2">
        <v>67</v>
      </c>
      <c r="E26" s="2">
        <v>140</v>
      </c>
      <c r="N26" s="2">
        <f>SUM(Expenses[[#This Row],[Jan]:[Dec]])</f>
        <v>432</v>
      </c>
    </row>
    <row r="27" spans="1:14" x14ac:dyDescent="0.25">
      <c r="A27" s="2" t="s">
        <v>34</v>
      </c>
      <c r="B27" s="2">
        <v>10</v>
      </c>
      <c r="C27" s="2">
        <v>5</v>
      </c>
      <c r="D27" s="2">
        <v>9</v>
      </c>
      <c r="E27" s="2">
        <v>0</v>
      </c>
      <c r="N27" s="2">
        <f>SUM(Expenses[[#This Row],[Jan]:[Dec]])</f>
        <v>24</v>
      </c>
    </row>
    <row r="28" spans="1:14" x14ac:dyDescent="0.25">
      <c r="A28" s="2" t="s">
        <v>35</v>
      </c>
      <c r="B28" s="2">
        <v>20</v>
      </c>
      <c r="C28" s="2">
        <v>45</v>
      </c>
      <c r="D28" s="2">
        <v>67</v>
      </c>
      <c r="E28" s="2">
        <v>120</v>
      </c>
      <c r="N28" s="2">
        <f>SUM(Expenses[[#This Row],[Jan]:[Dec]])</f>
        <v>252</v>
      </c>
    </row>
    <row r="29" spans="1:14" x14ac:dyDescent="0.25">
      <c r="A29" s="6" t="s">
        <v>36</v>
      </c>
      <c r="B29" s="7">
        <f>IF(SUBTOTAL(109,Expenses[Jan])=0,"",SUBTOTAL(109,Expenses[Jan]))</f>
        <v>26905</v>
      </c>
      <c r="C29" s="7">
        <f>IF(SUBTOTAL(109,Expenses[Feb])=0,"",SUBTOTAL(109,Expenses[Feb]))</f>
        <v>26555</v>
      </c>
      <c r="D29" s="7">
        <f>IF(SUBTOTAL(109,Expenses[Mar])=0,"",SUBTOTAL(109,Expenses[Mar]))</f>
        <v>29330</v>
      </c>
      <c r="E29" s="7">
        <f>IF(SUBTOTAL(109,Expenses[Apr])=0,"",SUBTOTAL(109,Expenses[Apr]))</f>
        <v>28730</v>
      </c>
      <c r="F29" s="7" t="str">
        <f>IF(SUBTOTAL(109,Expenses[May])=0,"",SUBTOTAL(109,Expenses[May]))</f>
        <v/>
      </c>
      <c r="G29" s="7" t="str">
        <f>IF(SUBTOTAL(109,Expenses[Jun])=0,"",SUBTOTAL(109,Expenses[Jun]))</f>
        <v/>
      </c>
      <c r="H29" s="7" t="str">
        <f>IF(SUBTOTAL(109,Expenses[Jul])=0,"",SUBTOTAL(109,Expenses[Jul]))</f>
        <v/>
      </c>
      <c r="I29" s="7" t="str">
        <f>IF(SUBTOTAL(109,Expenses[Aug])=0,"",SUBTOTAL(109,Expenses[Aug]))</f>
        <v/>
      </c>
      <c r="J29" s="7" t="str">
        <f>IF(SUBTOTAL(109,Expenses[Sep])=0,"",SUBTOTAL(109,Expenses[Sep]))</f>
        <v/>
      </c>
      <c r="K29" s="7" t="str">
        <f>IF(SUBTOTAL(109,Expenses[Oct])=0,"",SUBTOTAL(109,Expenses[Oct]))</f>
        <v/>
      </c>
      <c r="L29" s="7" t="str">
        <f>IF(SUBTOTAL(109,Expenses[Nov])=0,"",SUBTOTAL(109,Expenses[Nov]))</f>
        <v/>
      </c>
      <c r="M29" s="7" t="str">
        <f>IF(SUBTOTAL(109,Expenses[Dec])=0,"",SUBTOTAL(109,Expenses[Dec]))</f>
        <v/>
      </c>
      <c r="N29" s="7">
        <f>IF(SUBTOTAL(109,Expenses[Year To Date])=0,"",SUBTOTAL(109,Expenses[Year To Date]))</f>
        <v>111520</v>
      </c>
    </row>
    <row r="31" spans="1:14" x14ac:dyDescent="0.25">
      <c r="A31" s="1" t="s">
        <v>37</v>
      </c>
      <c r="B31" s="10">
        <f>Income[[#Totals],[Jan]]-Expenses[[#Totals],[Jan]]</f>
        <v>49095</v>
      </c>
      <c r="C31" s="10">
        <f>Income[[#Totals],[Feb]]-Expenses[[#Totals],[Feb]]</f>
        <v>48045</v>
      </c>
      <c r="D31" s="10">
        <f>Income[[#Totals],[Mar]]-Expenses[[#Totals],[Mar]]</f>
        <v>32070</v>
      </c>
      <c r="E31" s="10">
        <f>Income[[#Totals],[Apr]]-Expenses[[#Totals],[Apr]]</f>
        <v>61270</v>
      </c>
      <c r="F31" s="10"/>
      <c r="G31" s="10"/>
      <c r="H31" s="10"/>
      <c r="I31" s="10"/>
      <c r="J31" s="10"/>
      <c r="K31" s="10"/>
      <c r="L31" s="10"/>
      <c r="M31" s="10"/>
      <c r="N31" s="11">
        <f>Income[[#Totals],[Year To Date]]-Expenses[[#Totals],[Year To Date]]</f>
        <v>190480</v>
      </c>
    </row>
  </sheetData>
  <mergeCells count="3">
    <mergeCell ref="A14:N14"/>
    <mergeCell ref="A6:N6"/>
    <mergeCell ref="A1:N2"/>
  </mergeCells>
  <phoneticPr fontId="6" type="noConversion"/>
  <conditionalFormatting sqref="A31:E31">
    <cfRule type="cellIs" dxfId="1" priority="1" operator="lessThan">
      <formula>$D$4</formula>
    </cfRule>
  </conditionalFormatting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43A-AC1C-4495-B34D-73810DC62DF2}">
  <dimension ref="B2:B12"/>
  <sheetViews>
    <sheetView workbookViewId="0">
      <selection activeCell="B15" sqref="B15"/>
    </sheetView>
  </sheetViews>
  <sheetFormatPr defaultRowHeight="15" x14ac:dyDescent="0.25"/>
  <cols>
    <col min="2" max="2" width="153.85546875" style="2" bestFit="1" customWidth="1"/>
  </cols>
  <sheetData>
    <row r="2" spans="2:2" x14ac:dyDescent="0.25">
      <c r="B2" s="2" t="s">
        <v>38</v>
      </c>
    </row>
    <row r="4" spans="2:2" x14ac:dyDescent="0.25">
      <c r="B4" s="2" t="s">
        <v>39</v>
      </c>
    </row>
    <row r="6" spans="2:2" x14ac:dyDescent="0.25">
      <c r="B6" s="2" t="s">
        <v>40</v>
      </c>
    </row>
    <row r="8" spans="2:2" x14ac:dyDescent="0.25">
      <c r="B8" s="2" t="s">
        <v>41</v>
      </c>
    </row>
    <row r="9" spans="2:2" x14ac:dyDescent="0.25">
      <c r="B9" s="2" t="s">
        <v>42</v>
      </c>
    </row>
    <row r="10" spans="2:2" x14ac:dyDescent="0.25">
      <c r="B10" s="2" t="s">
        <v>43</v>
      </c>
    </row>
    <row r="11" spans="2:2" x14ac:dyDescent="0.25">
      <c r="B11" s="2" t="s">
        <v>44</v>
      </c>
    </row>
    <row r="12" spans="2:2" x14ac:dyDescent="0.25">
      <c r="B12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30AD-0BAA-4ADB-A569-0375166F2B22}">
  <dimension ref="B2:Q38"/>
  <sheetViews>
    <sheetView showGridLines="0" tabSelected="1" zoomScale="90" zoomScaleNormal="90" workbookViewId="0">
      <selection activeCell="S14" sqref="S14"/>
    </sheetView>
  </sheetViews>
  <sheetFormatPr defaultRowHeight="15" x14ac:dyDescent="0.25"/>
  <cols>
    <col min="1" max="1" width="9.140625" style="2"/>
    <col min="2" max="2" width="20.42578125" style="2" bestFit="1" customWidth="1"/>
    <col min="3" max="3" width="6.28515625" style="2" bestFit="1" customWidth="1"/>
    <col min="4" max="4" width="6.85546875" style="2" bestFit="1" customWidth="1"/>
    <col min="5" max="5" width="7.140625" style="2" bestFit="1" customWidth="1"/>
    <col min="6" max="6" width="6.85546875" style="2" bestFit="1" customWidth="1"/>
    <col min="7" max="7" width="7.28515625" style="2" bestFit="1" customWidth="1"/>
    <col min="8" max="8" width="6.42578125" style="2" bestFit="1" customWidth="1"/>
    <col min="9" max="9" width="5.85546875" style="2" bestFit="1" customWidth="1"/>
    <col min="10" max="10" width="7" style="2" bestFit="1" customWidth="1"/>
    <col min="11" max="11" width="6.85546875" style="2" bestFit="1" customWidth="1"/>
    <col min="12" max="12" width="6.7109375" style="2" bestFit="1" customWidth="1"/>
    <col min="13" max="13" width="7.140625" style="2" bestFit="1" customWidth="1"/>
    <col min="14" max="14" width="6.85546875" style="2" bestFit="1" customWidth="1"/>
    <col min="15" max="15" width="14.7109375" style="2" bestFit="1" customWidth="1"/>
    <col min="16" max="16" width="9.140625" style="2"/>
    <col min="18" max="16384" width="9.140625" style="2"/>
  </cols>
  <sheetData>
    <row r="2" spans="2:15" x14ac:dyDescent="0.2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 ht="12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2:15" ht="12.75" customHeight="1" x14ac:dyDescent="0.25"/>
    <row r="5" spans="2:15" ht="12.75" customHeight="1" x14ac:dyDescent="0.25">
      <c r="B5" s="12" t="s">
        <v>46</v>
      </c>
      <c r="C5" s="13">
        <v>2600</v>
      </c>
    </row>
    <row r="6" spans="2:15" ht="12.75" customHeight="1" x14ac:dyDescent="0.25"/>
    <row r="7" spans="2:15" x14ac:dyDescent="0.25">
      <c r="B7" s="23" t="s">
        <v>51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2:15" x14ac:dyDescent="0.25">
      <c r="B8" s="14" t="s">
        <v>47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15" t="s">
        <v>16</v>
      </c>
    </row>
    <row r="9" spans="2:15" x14ac:dyDescent="0.25">
      <c r="B9" s="14" t="s">
        <v>17</v>
      </c>
      <c r="C9" s="2">
        <v>8000</v>
      </c>
      <c r="D9" s="2">
        <v>8000</v>
      </c>
      <c r="E9" s="2">
        <v>8500</v>
      </c>
      <c r="F9" s="2">
        <v>8300</v>
      </c>
      <c r="G9" s="2">
        <v>8300</v>
      </c>
      <c r="H9" s="2">
        <v>8300</v>
      </c>
      <c r="I9" s="2">
        <v>8300</v>
      </c>
      <c r="O9" s="15">
        <f>SUM(Income1[[#This Row],[Jan]:[Dec]])</f>
        <v>57700</v>
      </c>
    </row>
    <row r="10" spans="2:15" x14ac:dyDescent="0.25">
      <c r="B10" s="14" t="s">
        <v>19</v>
      </c>
      <c r="C10" s="2">
        <v>0</v>
      </c>
      <c r="D10" s="2">
        <v>0</v>
      </c>
      <c r="E10" s="2">
        <v>5000</v>
      </c>
      <c r="F10" s="2">
        <v>0</v>
      </c>
      <c r="G10" s="2">
        <v>0</v>
      </c>
      <c r="H10" s="2">
        <v>0</v>
      </c>
      <c r="I10" s="2">
        <v>0</v>
      </c>
      <c r="O10" s="15">
        <f>SUM(Income1[[#This Row],[Jan]:[Dec]])</f>
        <v>5000</v>
      </c>
    </row>
    <row r="11" spans="2:15" x14ac:dyDescent="0.25">
      <c r="B11" s="14" t="s">
        <v>48</v>
      </c>
      <c r="C11" s="2">
        <v>0</v>
      </c>
      <c r="D11" s="2">
        <v>500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O11" s="15">
        <f>SUM(Income1[[#This Row],[Jan]:[Dec]])</f>
        <v>500</v>
      </c>
    </row>
    <row r="12" spans="2:15" x14ac:dyDescent="0.25">
      <c r="B12" s="14" t="s">
        <v>49</v>
      </c>
      <c r="C12" s="2">
        <v>700</v>
      </c>
      <c r="D12" s="2">
        <v>0</v>
      </c>
      <c r="E12" s="2">
        <v>0</v>
      </c>
      <c r="F12" s="2">
        <v>0</v>
      </c>
      <c r="G12" s="2">
        <v>600</v>
      </c>
      <c r="H12" s="2">
        <v>0</v>
      </c>
      <c r="I12" s="2">
        <v>0</v>
      </c>
      <c r="O12" s="15">
        <f>SUM(Income1[[#This Row],[Jan]:[Dec]])</f>
        <v>1300</v>
      </c>
    </row>
    <row r="13" spans="2:15" x14ac:dyDescent="0.25">
      <c r="B13" s="16" t="s">
        <v>50</v>
      </c>
      <c r="C13" s="17">
        <f>SUBTOTAL(109,Income1[Jan])</f>
        <v>8700</v>
      </c>
      <c r="D13" s="17">
        <f>SUBTOTAL(109,Income1[Feb])</f>
        <v>8500</v>
      </c>
      <c r="E13" s="17">
        <f>SUBTOTAL(109,Income1[Mar])</f>
        <v>13500</v>
      </c>
      <c r="F13" s="17">
        <f>SUBTOTAL(109,Income1[Apr])</f>
        <v>8300</v>
      </c>
      <c r="G13" s="17">
        <f>SUBTOTAL(109,Income1[May])</f>
        <v>8900</v>
      </c>
      <c r="H13" s="17">
        <f>SUBTOTAL(109,Income1[Jun])</f>
        <v>8300</v>
      </c>
      <c r="I13" s="17">
        <f>SUBTOTAL(109,Income1[Jul])</f>
        <v>8300</v>
      </c>
      <c r="J13" s="17">
        <f>SUBTOTAL(109,Income1[Aug])</f>
        <v>0</v>
      </c>
      <c r="K13" s="17">
        <f>SUBTOTAL(109,Income1[Sep])</f>
        <v>0</v>
      </c>
      <c r="L13" s="17">
        <f>SUBTOTAL(109,Income1[Oct])</f>
        <v>0</v>
      </c>
      <c r="M13" s="17">
        <f>SUBTOTAL(109,Income1[Nov])</f>
        <v>0</v>
      </c>
      <c r="N13" s="17">
        <f>SUBTOTAL(109,Income1[Dec])</f>
        <v>0</v>
      </c>
      <c r="O13" s="18">
        <f>SUBTOTAL(109,Income1[Year To Date])</f>
        <v>64500</v>
      </c>
    </row>
    <row r="15" spans="2:15" x14ac:dyDescent="0.25">
      <c r="B15" s="23" t="s">
        <v>52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2:15" x14ac:dyDescent="0.25">
      <c r="B16" s="14" t="s">
        <v>58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15" t="s">
        <v>16</v>
      </c>
    </row>
    <row r="17" spans="2:15" x14ac:dyDescent="0.25">
      <c r="B17" s="20" t="s">
        <v>53</v>
      </c>
      <c r="O17" s="15"/>
    </row>
    <row r="18" spans="2:15" x14ac:dyDescent="0.25">
      <c r="B18" s="14" t="s">
        <v>24</v>
      </c>
      <c r="C18" s="2">
        <v>2000</v>
      </c>
      <c r="D18" s="2">
        <v>2000</v>
      </c>
      <c r="E18" s="2">
        <v>2000</v>
      </c>
      <c r="F18" s="2">
        <v>2000</v>
      </c>
      <c r="G18" s="2">
        <v>2050</v>
      </c>
      <c r="H18" s="2">
        <v>2050</v>
      </c>
      <c r="I18" s="2">
        <v>2050</v>
      </c>
      <c r="O18" s="15">
        <f>SUM(Expense[[#This Row],[Jan]:[Dec]])</f>
        <v>14150</v>
      </c>
    </row>
    <row r="19" spans="2:15" x14ac:dyDescent="0.25">
      <c r="B19" s="14" t="s">
        <v>25</v>
      </c>
      <c r="C19" s="2">
        <v>40</v>
      </c>
      <c r="D19" s="2">
        <v>40</v>
      </c>
      <c r="E19" s="2">
        <v>40</v>
      </c>
      <c r="F19" s="2">
        <v>40</v>
      </c>
      <c r="G19" s="2">
        <v>40</v>
      </c>
      <c r="H19" s="2">
        <v>40</v>
      </c>
      <c r="I19" s="2">
        <v>40</v>
      </c>
      <c r="O19" s="15">
        <f>SUM(Expense[[#This Row],[Jan]:[Dec]])</f>
        <v>280</v>
      </c>
    </row>
    <row r="20" spans="2:15" x14ac:dyDescent="0.25">
      <c r="B20" s="14" t="s">
        <v>26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O20" s="15">
        <f>SUM(Expense[[#This Row],[Jan]:[Dec]])</f>
        <v>700</v>
      </c>
    </row>
    <row r="21" spans="2:15" x14ac:dyDescent="0.25">
      <c r="B21" s="14" t="s">
        <v>54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O21" s="15">
        <f>SUM(Expense[[#This Row],[Jan]:[Dec]])</f>
        <v>700</v>
      </c>
    </row>
    <row r="22" spans="2:15" x14ac:dyDescent="0.25">
      <c r="B22" s="14" t="s">
        <v>28</v>
      </c>
      <c r="C22" s="2">
        <v>200</v>
      </c>
      <c r="D22" s="2">
        <v>200</v>
      </c>
      <c r="E22" s="2">
        <v>200</v>
      </c>
      <c r="F22" s="2">
        <v>200</v>
      </c>
      <c r="G22" s="2">
        <v>200</v>
      </c>
      <c r="H22" s="2">
        <v>200</v>
      </c>
      <c r="I22" s="2">
        <v>200</v>
      </c>
      <c r="O22" s="15">
        <f>SUM(Expense[[#This Row],[Jan]:[Dec]])</f>
        <v>1400</v>
      </c>
    </row>
    <row r="23" spans="2:15" x14ac:dyDescent="0.25">
      <c r="B23" s="14" t="s">
        <v>56</v>
      </c>
      <c r="C23" s="2">
        <v>500</v>
      </c>
      <c r="D23" s="2">
        <v>500</v>
      </c>
      <c r="E23" s="2">
        <v>500</v>
      </c>
      <c r="F23" s="2">
        <v>500</v>
      </c>
      <c r="G23" s="2">
        <v>500</v>
      </c>
      <c r="H23" s="2">
        <v>500</v>
      </c>
      <c r="I23" s="2">
        <v>500</v>
      </c>
      <c r="O23" s="15">
        <f>SUM(Expense[[#This Row],[Jan]:[Dec]])</f>
        <v>3500</v>
      </c>
    </row>
    <row r="24" spans="2:15" x14ac:dyDescent="0.25">
      <c r="B24" s="20" t="s">
        <v>29</v>
      </c>
      <c r="O24" s="15"/>
    </row>
    <row r="25" spans="2:15" x14ac:dyDescent="0.25">
      <c r="B25" s="14" t="s">
        <v>30</v>
      </c>
      <c r="C25" s="2">
        <v>500</v>
      </c>
      <c r="D25" s="2">
        <v>500</v>
      </c>
      <c r="E25" s="2">
        <v>500</v>
      </c>
      <c r="F25" s="2">
        <v>500</v>
      </c>
      <c r="G25" s="2">
        <v>500</v>
      </c>
      <c r="H25" s="2">
        <v>500</v>
      </c>
      <c r="I25" s="2">
        <v>500</v>
      </c>
      <c r="O25" s="15">
        <f>SUM(Expense[[#This Row],[Jan]:[Dec]])</f>
        <v>3500</v>
      </c>
    </row>
    <row r="26" spans="2:15" x14ac:dyDescent="0.25">
      <c r="B26" s="14" t="s">
        <v>59</v>
      </c>
      <c r="C26" s="2">
        <v>500</v>
      </c>
      <c r="D26" s="2">
        <v>500</v>
      </c>
      <c r="E26" s="2">
        <v>500</v>
      </c>
      <c r="F26" s="2">
        <v>500</v>
      </c>
      <c r="G26" s="2">
        <v>500</v>
      </c>
      <c r="H26" s="2">
        <v>500</v>
      </c>
      <c r="I26" s="2">
        <v>500</v>
      </c>
      <c r="O26" s="15">
        <f>SUM(Expense[[#This Row],[Jan]:[Dec]])</f>
        <v>3500</v>
      </c>
    </row>
    <row r="27" spans="2:15" x14ac:dyDescent="0.25">
      <c r="B27" s="14" t="s">
        <v>31</v>
      </c>
      <c r="C27" s="2">
        <v>500</v>
      </c>
      <c r="D27" s="2">
        <v>500</v>
      </c>
      <c r="E27" s="2">
        <v>500</v>
      </c>
      <c r="F27" s="2">
        <v>500</v>
      </c>
      <c r="G27" s="2">
        <v>500</v>
      </c>
      <c r="H27" s="2">
        <v>500</v>
      </c>
      <c r="I27" s="2">
        <v>500</v>
      </c>
      <c r="O27" s="15">
        <f>SUM(Expense[[#This Row],[Jan]:[Dec]])</f>
        <v>3500</v>
      </c>
    </row>
    <row r="28" spans="2:15" x14ac:dyDescent="0.25">
      <c r="B28" s="20" t="s">
        <v>32</v>
      </c>
      <c r="O28" s="15"/>
    </row>
    <row r="29" spans="2:15" x14ac:dyDescent="0.25">
      <c r="B29" s="14" t="s">
        <v>33</v>
      </c>
      <c r="C29" s="2">
        <v>100</v>
      </c>
      <c r="D29" s="2">
        <v>100</v>
      </c>
      <c r="E29" s="2">
        <v>100</v>
      </c>
      <c r="F29" s="2">
        <v>100</v>
      </c>
      <c r="G29" s="2">
        <v>2000</v>
      </c>
      <c r="H29" s="2">
        <v>100</v>
      </c>
      <c r="I29" s="2">
        <v>100</v>
      </c>
      <c r="O29" s="15">
        <f>SUM(Expense[[#This Row],[Jan]:[Dec]])</f>
        <v>2600</v>
      </c>
    </row>
    <row r="30" spans="2:15" x14ac:dyDescent="0.25">
      <c r="B30" s="14" t="s">
        <v>34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O30" s="15">
        <f>SUM(Expense[[#This Row],[Jan]:[Dec]])</f>
        <v>700</v>
      </c>
    </row>
    <row r="31" spans="2:15" x14ac:dyDescent="0.25">
      <c r="B31" s="14" t="s">
        <v>35</v>
      </c>
      <c r="C31" s="2">
        <v>50</v>
      </c>
      <c r="D31" s="2">
        <v>50</v>
      </c>
      <c r="E31" s="2">
        <v>50</v>
      </c>
      <c r="F31" s="2">
        <v>50</v>
      </c>
      <c r="G31" s="2">
        <v>50</v>
      </c>
      <c r="H31" s="2">
        <v>50</v>
      </c>
      <c r="I31" s="2">
        <v>50</v>
      </c>
      <c r="O31" s="15">
        <f>SUM(Expense[[#This Row],[Jan]:[Dec]])</f>
        <v>350</v>
      </c>
    </row>
    <row r="32" spans="2:15" x14ac:dyDescent="0.25">
      <c r="B32" s="20" t="s">
        <v>60</v>
      </c>
      <c r="O32" s="15"/>
    </row>
    <row r="33" spans="2:15" x14ac:dyDescent="0.25">
      <c r="B33" s="14" t="s">
        <v>55</v>
      </c>
      <c r="C33" s="2">
        <v>500</v>
      </c>
      <c r="D33" s="2">
        <v>500</v>
      </c>
      <c r="E33" s="2">
        <v>500</v>
      </c>
      <c r="F33" s="2">
        <v>500</v>
      </c>
      <c r="G33" s="2">
        <v>500</v>
      </c>
      <c r="H33" s="2">
        <v>500</v>
      </c>
      <c r="I33" s="2">
        <v>500</v>
      </c>
      <c r="O33" s="15">
        <f>SUM(Expense[[#This Row],[Jan]:[Dec]])</f>
        <v>3500</v>
      </c>
    </row>
    <row r="34" spans="2:15" x14ac:dyDescent="0.25">
      <c r="B34" s="14" t="s">
        <v>57</v>
      </c>
      <c r="C34" s="2">
        <v>200</v>
      </c>
      <c r="D34" s="2">
        <v>200</v>
      </c>
      <c r="E34" s="2">
        <v>200</v>
      </c>
      <c r="F34" s="2">
        <v>200</v>
      </c>
      <c r="G34" s="2">
        <v>200</v>
      </c>
      <c r="H34" s="2">
        <v>200</v>
      </c>
      <c r="I34" s="2">
        <v>200</v>
      </c>
      <c r="O34" s="15">
        <f>SUM(Expense[[#This Row],[Jan]:[Dec]])</f>
        <v>1400</v>
      </c>
    </row>
    <row r="35" spans="2:15" x14ac:dyDescent="0.25">
      <c r="B35" s="14" t="s">
        <v>49</v>
      </c>
      <c r="C35" s="2">
        <v>200</v>
      </c>
      <c r="D35" s="2">
        <v>200</v>
      </c>
      <c r="E35" s="2">
        <v>200</v>
      </c>
      <c r="F35" s="2">
        <v>200</v>
      </c>
      <c r="G35" s="2">
        <v>200</v>
      </c>
      <c r="H35" s="2">
        <v>200</v>
      </c>
      <c r="I35" s="2">
        <v>200</v>
      </c>
      <c r="O35" s="15">
        <f>SUM(Expense[[#This Row],[Jan]:[Dec]])</f>
        <v>1400</v>
      </c>
    </row>
    <row r="36" spans="2:15" x14ac:dyDescent="0.25">
      <c r="B36" s="16" t="s">
        <v>50</v>
      </c>
      <c r="C36" s="17">
        <f>SUBTOTAL(109,Expense[Jan])</f>
        <v>5590</v>
      </c>
      <c r="D36" s="17">
        <f>SUBTOTAL(109,Expense[Feb])</f>
        <v>5590</v>
      </c>
      <c r="E36" s="17">
        <f>SUBTOTAL(109,Expense[Mar])</f>
        <v>5590</v>
      </c>
      <c r="F36" s="17">
        <f>SUBTOTAL(109,Expense[Apr])</f>
        <v>5590</v>
      </c>
      <c r="G36" s="17">
        <f>SUBTOTAL(109,Expense[May])</f>
        <v>7540</v>
      </c>
      <c r="H36" s="17">
        <f>SUBTOTAL(109,Expense[Jun])</f>
        <v>5640</v>
      </c>
      <c r="I36" s="17">
        <f>SUBTOTAL(109,Expense[Jul])</f>
        <v>5640</v>
      </c>
      <c r="J36" s="17">
        <f>SUBTOTAL(109,Expense[Aug])</f>
        <v>0</v>
      </c>
      <c r="K36" s="17">
        <f>SUBTOTAL(109,Expense[Sep])</f>
        <v>0</v>
      </c>
      <c r="L36" s="17">
        <f>SUBTOTAL(109,Expense[Oct])</f>
        <v>0</v>
      </c>
      <c r="M36" s="17">
        <f>SUBTOTAL(109,Expense[Nov])</f>
        <v>0</v>
      </c>
      <c r="N36" s="17">
        <f>SUBTOTAL(109,Expense[Dec])</f>
        <v>0</v>
      </c>
      <c r="O36" s="18">
        <f>SUBTOTAL(109,Expense[Year To Date])</f>
        <v>41180</v>
      </c>
    </row>
    <row r="38" spans="2:15" x14ac:dyDescent="0.25">
      <c r="B38" s="6" t="s">
        <v>37</v>
      </c>
      <c r="C38" s="7">
        <f>Income1[[#Totals],[Jan]]-Expense[[#Totals],[Jan]]</f>
        <v>3110</v>
      </c>
      <c r="D38" s="7">
        <f>Income1[[#Totals],[Feb]]-Expense[[#Totals],[Feb]]</f>
        <v>2910</v>
      </c>
      <c r="E38" s="7">
        <f>Income1[[#Totals],[Mar]]-Expense[[#Totals],[Mar]]</f>
        <v>7910</v>
      </c>
      <c r="F38" s="7">
        <f>Income1[[#Totals],[Apr]]-Expense[[#Totals],[Apr]]</f>
        <v>2710</v>
      </c>
      <c r="G38" s="7">
        <f>Income1[[#Totals],[May]]-Expense[[#Totals],[May]]</f>
        <v>1360</v>
      </c>
      <c r="H38" s="7">
        <f>Income1[[#Totals],[Jun]]-Expense[[#Totals],[Jun]]</f>
        <v>2660</v>
      </c>
      <c r="I38" s="7">
        <f>Income1[[#Totals],[Jul]]-Expense[[#Totals],[Jul]]</f>
        <v>2660</v>
      </c>
      <c r="J38" s="7">
        <f>Income1[[#Totals],[Aug]]-Expense[[#Totals],[Aug]]</f>
        <v>0</v>
      </c>
      <c r="K38" s="7">
        <f>Income1[[#Totals],[Sep]]-Expense[[#Totals],[Sep]]</f>
        <v>0</v>
      </c>
      <c r="L38" s="7">
        <f>Income1[[#Totals],[Oct]]-Expense[[#Totals],[Oct]]</f>
        <v>0</v>
      </c>
      <c r="M38" s="7">
        <f>Income1[[#Totals],[Nov]]-Expense[[#Totals],[Nov]]</f>
        <v>0</v>
      </c>
      <c r="N38" s="7">
        <f>Income1[[#Totals],[Dec]]-Expense[[#Totals],[Dec]]</f>
        <v>0</v>
      </c>
      <c r="O38" s="19">
        <f>Income1[[#Totals],[Year To Date]]-Expense[[#Totals],[Year To Date]]</f>
        <v>23320</v>
      </c>
    </row>
  </sheetData>
  <mergeCells count="3">
    <mergeCell ref="B7:O7"/>
    <mergeCell ref="B2:O3"/>
    <mergeCell ref="B15:O15"/>
  </mergeCells>
  <phoneticPr fontId="6" type="noConversion"/>
  <conditionalFormatting sqref="C38:O38">
    <cfRule type="cellIs" dxfId="0" priority="1" operator="lessThan">
      <formula>$C$5</formula>
    </cfRule>
  </conditionalFormatting>
  <pageMargins left="0.7" right="0.7" top="0.75" bottom="0.75" header="0.3" footer="0.3"/>
  <pageSetup orientation="landscape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8CA40-0DB4-4620-8315-F39CC3D1B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7FD9-EBCF-4CC4-BE1C-34B80F7E8353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Question</vt:lpstr>
      <vt:lpstr>Answer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2022-11-06T05:34:26Z</dcterms:created>
  <dcterms:modified xsi:type="dcterms:W3CDTF">2023-08-17T06:50:11Z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