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doyin\Downloads\"/>
    </mc:Choice>
  </mc:AlternateContent>
  <xr:revisionPtr revIDLastSave="0" documentId="13_ncr:1_{4A12D781-D941-406B-8C27-3363B1139276}" xr6:coauthVersionLast="47" xr6:coauthVersionMax="47" xr10:uidLastSave="{00000000-0000-0000-0000-000000000000}"/>
  <workbookProtection workbookAlgorithmName="SHA-512" workbookHashValue="nF2jo4QB56u4yrOtjhBT+yUBd/QjWDbC3uRHON5keUos8z3dpbyAU0GGUHYhdiMtDAQRSB66WvAn8MYvdHjeQQ==" workbookSaltValue="H80ESNw7AyOY1KXhXj3U6g==" workbookSpinCount="100000" lockStructure="1"/>
  <bookViews>
    <workbookView xWindow="19090" yWindow="-4800" windowWidth="38620" windowHeight="21100" activeTab="4" xr2:uid="{00000000-000D-0000-FFFF-FFFF00000000}"/>
  </bookViews>
  <sheets>
    <sheet name="v-Modulus" sheetId="42" r:id="rId1"/>
    <sheet name="UCS" sheetId="37" r:id="rId2"/>
    <sheet name="Ks" sheetId="38" r:id="rId3"/>
    <sheet name="%Weight" sheetId="40" r:id="rId4"/>
    <sheet name="Statistical Analyses" sheetId="4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2" l="1"/>
  <c r="Q5" i="40" l="1"/>
  <c r="R5" i="40" s="1"/>
  <c r="W4" i="40" l="1"/>
  <c r="W3" i="40"/>
  <c r="V3" i="40"/>
  <c r="V4" i="40"/>
  <c r="U4" i="40"/>
  <c r="U3" i="40"/>
  <c r="S4" i="40"/>
  <c r="S5" i="40"/>
  <c r="T5" i="40" s="1"/>
  <c r="S3" i="40"/>
  <c r="T3" i="40" s="1"/>
  <c r="Q4" i="40"/>
  <c r="R4" i="40" s="1"/>
  <c r="U5" i="40"/>
  <c r="P4" i="40"/>
  <c r="P5" i="40"/>
  <c r="Q3" i="40"/>
  <c r="R3" i="40" s="1"/>
  <c r="P3" i="40"/>
  <c r="T4" i="40"/>
  <c r="Z3" i="42"/>
  <c r="Z4" i="42"/>
  <c r="V5" i="40" l="1"/>
  <c r="AD4" i="42"/>
  <c r="W5" i="40"/>
  <c r="Y3" i="42"/>
  <c r="AJ7" i="42" s="1"/>
  <c r="AJ16" i="42" s="1"/>
  <c r="V5" i="41" s="1"/>
  <c r="Y4" i="42"/>
  <c r="AD3" i="42"/>
  <c r="T4" i="42"/>
  <c r="T3" i="42"/>
  <c r="O4" i="42"/>
  <c r="O3" i="42"/>
  <c r="J4" i="42"/>
  <c r="J3" i="42"/>
  <c r="AJ4" i="42" s="1"/>
  <c r="AJ17" i="42" s="1"/>
  <c r="W3" i="41" s="1"/>
  <c r="E4" i="42"/>
  <c r="AH8" i="42"/>
  <c r="AH19" i="42" s="1"/>
  <c r="M5" i="41" s="1"/>
  <c r="AH7" i="42"/>
  <c r="AH16" i="42" s="1"/>
  <c r="L5" i="41" s="1"/>
  <c r="AH6" i="42"/>
  <c r="AH18" i="42" s="1"/>
  <c r="M4" i="41" s="1"/>
  <c r="AH5" i="42"/>
  <c r="AH15" i="42" s="1"/>
  <c r="L4" i="41" s="1"/>
  <c r="AH4" i="42"/>
  <c r="AH17" i="42" s="1"/>
  <c r="M3" i="41" s="1"/>
  <c r="U4" i="42"/>
  <c r="P4" i="42"/>
  <c r="K4" i="42"/>
  <c r="F4" i="42"/>
  <c r="A4" i="42"/>
  <c r="AH3" i="42"/>
  <c r="AH14" i="42" s="1"/>
  <c r="L3" i="41" s="1"/>
  <c r="U3" i="42"/>
  <c r="P3" i="42"/>
  <c r="K3" i="42"/>
  <c r="F3" i="42"/>
  <c r="A3" i="42"/>
  <c r="AJ5" i="42" l="1"/>
  <c r="AJ15" i="42" s="1"/>
  <c r="V4" i="41" s="1"/>
  <c r="AJ8" i="42"/>
  <c r="AJ19" i="42" s="1"/>
  <c r="W5" i="41" s="1"/>
  <c r="AJ6" i="42"/>
  <c r="AJ18" i="42" s="1"/>
  <c r="W4" i="41" s="1"/>
  <c r="AJ3" i="42"/>
  <c r="AJ14" i="42" s="1"/>
  <c r="V3" i="41" s="1"/>
  <c r="AE4" i="41"/>
  <c r="AD5" i="41"/>
  <c r="AD4" i="41"/>
  <c r="AD3" i="41"/>
  <c r="AF4" i="41"/>
  <c r="F5" i="41"/>
  <c r="G5" i="41" s="1"/>
  <c r="F4" i="41"/>
  <c r="G4" i="41" s="1"/>
  <c r="F3" i="41"/>
  <c r="G3" i="41" s="1"/>
  <c r="E5" i="41"/>
  <c r="E4" i="41"/>
  <c r="E3" i="41"/>
  <c r="AP50" i="38"/>
  <c r="AP49" i="38"/>
  <c r="AP48" i="38"/>
  <c r="AP47" i="38"/>
  <c r="AP46" i="38"/>
  <c r="AP45" i="38"/>
  <c r="AP44" i="38"/>
  <c r="AP43" i="38"/>
  <c r="AP42" i="38"/>
  <c r="AP41" i="38"/>
  <c r="AP40" i="38"/>
  <c r="AP39" i="38"/>
  <c r="AP38" i="38"/>
  <c r="AP37" i="38"/>
  <c r="AP36" i="38"/>
  <c r="AP35" i="38"/>
  <c r="AP34" i="38"/>
  <c r="AP33" i="38"/>
  <c r="AP32" i="38"/>
  <c r="AP31" i="38"/>
  <c r="AP30" i="38"/>
  <c r="AP29" i="38"/>
  <c r="AP28" i="38"/>
  <c r="AP27" i="38"/>
  <c r="AP26" i="38"/>
  <c r="AP25" i="38"/>
  <c r="AP24" i="38"/>
  <c r="AP23" i="38"/>
  <c r="AP22" i="38"/>
  <c r="AP21" i="38"/>
  <c r="AP20" i="38"/>
  <c r="AP19" i="38"/>
  <c r="AP18" i="38"/>
  <c r="AP17" i="38"/>
  <c r="AP16" i="38"/>
  <c r="AP15" i="38"/>
  <c r="AP14" i="38"/>
  <c r="AP13" i="38"/>
  <c r="AP12" i="38"/>
  <c r="AP11" i="38"/>
  <c r="AP10" i="38"/>
  <c r="AP9" i="38"/>
  <c r="AP8" i="38"/>
  <c r="AP7" i="38"/>
  <c r="AP6" i="38"/>
  <c r="AP5" i="38"/>
  <c r="AP4" i="38"/>
  <c r="AP3" i="38"/>
  <c r="Z63" i="38"/>
  <c r="Z62" i="38"/>
  <c r="Z61" i="38"/>
  <c r="Z60" i="38"/>
  <c r="Z59" i="38"/>
  <c r="Z58" i="38"/>
  <c r="Z57" i="38"/>
  <c r="Z56" i="38"/>
  <c r="Z55" i="38"/>
  <c r="Z54" i="38"/>
  <c r="Z53" i="38"/>
  <c r="Z52" i="38"/>
  <c r="Z51" i="38"/>
  <c r="Z50" i="38"/>
  <c r="Z49" i="38"/>
  <c r="Z48" i="38"/>
  <c r="Z47" i="38"/>
  <c r="Z46" i="38"/>
  <c r="Z45" i="38"/>
  <c r="Z44" i="38"/>
  <c r="Z43" i="38"/>
  <c r="Z42" i="38"/>
  <c r="Z41" i="38"/>
  <c r="Z40" i="38"/>
  <c r="Z39" i="38"/>
  <c r="Z38" i="38"/>
  <c r="Z37" i="38"/>
  <c r="Z36" i="38"/>
  <c r="Z35" i="38"/>
  <c r="Z34" i="38"/>
  <c r="Z33" i="38"/>
  <c r="Z32" i="38"/>
  <c r="Z31" i="38"/>
  <c r="Z30" i="38"/>
  <c r="Z29" i="38"/>
  <c r="Z28" i="38"/>
  <c r="Z27" i="38"/>
  <c r="Z26" i="38"/>
  <c r="Z25" i="38"/>
  <c r="Z24" i="38"/>
  <c r="Z23" i="38"/>
  <c r="Z22" i="38"/>
  <c r="Z21" i="38"/>
  <c r="Z20" i="38"/>
  <c r="Z19" i="38"/>
  <c r="Z18" i="38"/>
  <c r="Z17" i="38"/>
  <c r="Z16" i="38"/>
  <c r="Z15" i="38"/>
  <c r="Z14" i="38"/>
  <c r="Z13" i="38"/>
  <c r="Z12" i="38"/>
  <c r="Z11" i="38"/>
  <c r="Z10" i="38"/>
  <c r="Z9" i="38"/>
  <c r="Z8" i="38"/>
  <c r="Z7" i="38"/>
  <c r="Z6" i="38"/>
  <c r="Z5" i="38"/>
  <c r="Z4" i="38"/>
  <c r="Z3" i="38"/>
  <c r="J65" i="38"/>
  <c r="J64" i="38"/>
  <c r="J63" i="38"/>
  <c r="J62" i="38"/>
  <c r="J61" i="38"/>
  <c r="J60" i="38"/>
  <c r="J59" i="38"/>
  <c r="J58" i="38"/>
  <c r="J57" i="38"/>
  <c r="J56" i="38"/>
  <c r="J55" i="38"/>
  <c r="J54" i="38"/>
  <c r="J53" i="38"/>
  <c r="J52" i="38"/>
  <c r="J51" i="38"/>
  <c r="J50" i="38"/>
  <c r="J49" i="38"/>
  <c r="J48" i="38"/>
  <c r="J47" i="38"/>
  <c r="J46" i="38"/>
  <c r="J45" i="38"/>
  <c r="J44" i="38"/>
  <c r="J43" i="38"/>
  <c r="J42" i="38"/>
  <c r="J41" i="38"/>
  <c r="J40" i="38"/>
  <c r="J39" i="38"/>
  <c r="J38" i="38"/>
  <c r="J37" i="38"/>
  <c r="J36" i="38"/>
  <c r="J35" i="38"/>
  <c r="J34" i="38"/>
  <c r="J33" i="38"/>
  <c r="J32" i="38"/>
  <c r="J31" i="38"/>
  <c r="J30" i="38"/>
  <c r="J29" i="38"/>
  <c r="J28" i="38"/>
  <c r="J27" i="38"/>
  <c r="J26" i="38"/>
  <c r="J25" i="38"/>
  <c r="J24" i="38"/>
  <c r="J23" i="38"/>
  <c r="J22" i="38"/>
  <c r="J21" i="38"/>
  <c r="J20" i="38"/>
  <c r="J19" i="38"/>
  <c r="J18" i="38"/>
  <c r="J17" i="38"/>
  <c r="J16" i="38"/>
  <c r="J15" i="38"/>
  <c r="J14" i="38"/>
  <c r="J13" i="38"/>
  <c r="J12" i="38"/>
  <c r="J11" i="38"/>
  <c r="J10" i="38"/>
  <c r="J9" i="38"/>
  <c r="J8" i="38"/>
  <c r="J7" i="38"/>
  <c r="J6" i="38"/>
  <c r="J5" i="38"/>
  <c r="J4" i="38"/>
  <c r="J3" i="38"/>
  <c r="AH50" i="38"/>
  <c r="AH49" i="38"/>
  <c r="AH48" i="38"/>
  <c r="AH47" i="38"/>
  <c r="AH46" i="38"/>
  <c r="AH45" i="38"/>
  <c r="AH44" i="38"/>
  <c r="AH43" i="38"/>
  <c r="AH42" i="38"/>
  <c r="AH41" i="38"/>
  <c r="AH40" i="38"/>
  <c r="AH39" i="38"/>
  <c r="AH38" i="38"/>
  <c r="AH37" i="38"/>
  <c r="AH36" i="38"/>
  <c r="AH35" i="38"/>
  <c r="AH34" i="38"/>
  <c r="AH33" i="38"/>
  <c r="AH32" i="38"/>
  <c r="AH31" i="38"/>
  <c r="AH30" i="38"/>
  <c r="AH29" i="38"/>
  <c r="AH28" i="38"/>
  <c r="AH27" i="38"/>
  <c r="AH26" i="38"/>
  <c r="AH25" i="38"/>
  <c r="AH24" i="38"/>
  <c r="AH23" i="38"/>
  <c r="AH22" i="38"/>
  <c r="AH21" i="38"/>
  <c r="AH20" i="38"/>
  <c r="AH19" i="38"/>
  <c r="AH18" i="38"/>
  <c r="AH17" i="38"/>
  <c r="AH16" i="38"/>
  <c r="AH15" i="38"/>
  <c r="AH14" i="38"/>
  <c r="AH13" i="38"/>
  <c r="AH12" i="38"/>
  <c r="AH11" i="38"/>
  <c r="AH10" i="38"/>
  <c r="AH9" i="38"/>
  <c r="AH8" i="38"/>
  <c r="AH7" i="38"/>
  <c r="AH6" i="38"/>
  <c r="AH5" i="38"/>
  <c r="AH4" i="38"/>
  <c r="AH3" i="38"/>
  <c r="R63" i="38"/>
  <c r="R62" i="38"/>
  <c r="R61" i="38"/>
  <c r="R60" i="38"/>
  <c r="R59" i="38"/>
  <c r="R58" i="38"/>
  <c r="R57" i="38"/>
  <c r="R56" i="38"/>
  <c r="R55" i="38"/>
  <c r="R54" i="38"/>
  <c r="R53" i="38"/>
  <c r="R52" i="38"/>
  <c r="R51" i="38"/>
  <c r="R50" i="38"/>
  <c r="R49" i="38"/>
  <c r="R48" i="38"/>
  <c r="R47" i="38"/>
  <c r="R46" i="38"/>
  <c r="R45" i="38"/>
  <c r="R44" i="38"/>
  <c r="R43" i="38"/>
  <c r="R42" i="38"/>
  <c r="R41" i="38"/>
  <c r="R40" i="38"/>
  <c r="R39" i="38"/>
  <c r="R38" i="38"/>
  <c r="R37" i="38"/>
  <c r="R36" i="38"/>
  <c r="R35" i="38"/>
  <c r="R34" i="38"/>
  <c r="R33" i="38"/>
  <c r="R32" i="38"/>
  <c r="R31" i="38"/>
  <c r="R30" i="38"/>
  <c r="R29" i="38"/>
  <c r="R28" i="38"/>
  <c r="R27" i="38"/>
  <c r="R26" i="38"/>
  <c r="R25" i="38"/>
  <c r="R24" i="38"/>
  <c r="R23" i="38"/>
  <c r="R22" i="38"/>
  <c r="R21" i="38"/>
  <c r="R20" i="38"/>
  <c r="R19" i="38"/>
  <c r="R18" i="38"/>
  <c r="R17" i="38"/>
  <c r="R16" i="38"/>
  <c r="R15" i="38"/>
  <c r="R14" i="38"/>
  <c r="R13" i="38"/>
  <c r="R12" i="38"/>
  <c r="R11" i="38"/>
  <c r="R10" i="38"/>
  <c r="R9" i="38"/>
  <c r="R8" i="38"/>
  <c r="R7" i="38"/>
  <c r="R6" i="38"/>
  <c r="R5" i="38"/>
  <c r="R4" i="38"/>
  <c r="R3" i="38"/>
  <c r="B65" i="38"/>
  <c r="B64" i="38"/>
  <c r="B63" i="38"/>
  <c r="B62" i="38"/>
  <c r="B61" i="38"/>
  <c r="B60" i="38"/>
  <c r="B59" i="38"/>
  <c r="B58" i="38"/>
  <c r="B57" i="38"/>
  <c r="B56" i="38"/>
  <c r="B55" i="38"/>
  <c r="B54" i="38"/>
  <c r="B53" i="38"/>
  <c r="B52" i="38"/>
  <c r="B51" i="38"/>
  <c r="B50" i="38"/>
  <c r="B49" i="38"/>
  <c r="B48" i="38"/>
  <c r="B47" i="38"/>
  <c r="B46" i="38"/>
  <c r="B45" i="38"/>
  <c r="B44" i="38"/>
  <c r="B43" i="38"/>
  <c r="B42" i="38"/>
  <c r="B41" i="38"/>
  <c r="B40" i="38"/>
  <c r="B39" i="38"/>
  <c r="B38" i="38"/>
  <c r="B37" i="38"/>
  <c r="B36" i="38"/>
  <c r="B35" i="38"/>
  <c r="B34" i="38"/>
  <c r="B33" i="38"/>
  <c r="B32" i="38"/>
  <c r="B31" i="38"/>
  <c r="B30" i="38"/>
  <c r="B29" i="38"/>
  <c r="B28" i="38"/>
  <c r="B27" i="38"/>
  <c r="B26" i="38"/>
  <c r="B25" i="38"/>
  <c r="B24" i="38"/>
  <c r="B23" i="38"/>
  <c r="B22" i="38"/>
  <c r="B21" i="38"/>
  <c r="B20" i="38"/>
  <c r="B19" i="38"/>
  <c r="B18" i="38"/>
  <c r="B17" i="38"/>
  <c r="B16" i="38"/>
  <c r="B15" i="38"/>
  <c r="B14" i="38"/>
  <c r="B13" i="38"/>
  <c r="B12" i="38"/>
  <c r="B11" i="38"/>
  <c r="B10" i="38"/>
  <c r="B9" i="38"/>
  <c r="B8" i="38"/>
  <c r="B7" i="38"/>
  <c r="B6" i="38"/>
  <c r="B5" i="38"/>
  <c r="B4" i="38"/>
  <c r="B3" i="38"/>
  <c r="K49" i="37"/>
  <c r="K48" i="37"/>
  <c r="K47" i="37"/>
  <c r="K46" i="37"/>
  <c r="K45" i="37"/>
  <c r="K44" i="37"/>
  <c r="K43" i="37"/>
  <c r="K42" i="37"/>
  <c r="K41" i="37"/>
  <c r="K40" i="37"/>
  <c r="K39" i="37"/>
  <c r="K38" i="37"/>
  <c r="K37" i="37"/>
  <c r="K36" i="37"/>
  <c r="K35" i="37"/>
  <c r="K34" i="37"/>
  <c r="K33" i="37"/>
  <c r="K32" i="37"/>
  <c r="K31" i="37"/>
  <c r="K30" i="37"/>
  <c r="K29" i="37"/>
  <c r="K28" i="37"/>
  <c r="K27" i="37"/>
  <c r="K26" i="37"/>
  <c r="K25" i="37"/>
  <c r="K24" i="37"/>
  <c r="K23" i="37"/>
  <c r="K22" i="37"/>
  <c r="K21" i="37"/>
  <c r="K20" i="37"/>
  <c r="K19" i="37"/>
  <c r="K18" i="37"/>
  <c r="K17" i="37"/>
  <c r="K16" i="37"/>
  <c r="K15" i="37"/>
  <c r="K14" i="37"/>
  <c r="K13" i="37"/>
  <c r="K12" i="37"/>
  <c r="K11" i="37"/>
  <c r="K10" i="37"/>
  <c r="K9" i="37"/>
  <c r="K8" i="37"/>
  <c r="K7" i="37"/>
  <c r="K6" i="37"/>
  <c r="K5" i="37"/>
  <c r="K4" i="37"/>
  <c r="K3" i="37"/>
  <c r="I3" i="37"/>
  <c r="G61" i="37"/>
  <c r="G60" i="37"/>
  <c r="G59" i="37"/>
  <c r="G58" i="37"/>
  <c r="G57" i="37"/>
  <c r="G56" i="37"/>
  <c r="G55" i="37"/>
  <c r="G54" i="37"/>
  <c r="G53" i="37"/>
  <c r="G52" i="37"/>
  <c r="G51" i="37"/>
  <c r="G50" i="37"/>
  <c r="G49" i="37"/>
  <c r="G48" i="37"/>
  <c r="G47" i="37"/>
  <c r="G46" i="37"/>
  <c r="G45" i="37"/>
  <c r="G44" i="37"/>
  <c r="G43" i="37"/>
  <c r="G42" i="37"/>
  <c r="G41" i="37"/>
  <c r="G40" i="37"/>
  <c r="G39" i="37"/>
  <c r="G38" i="37"/>
  <c r="G37" i="37"/>
  <c r="G36" i="37"/>
  <c r="G35" i="37"/>
  <c r="G34" i="37"/>
  <c r="G33" i="37"/>
  <c r="G32" i="37"/>
  <c r="G31" i="37"/>
  <c r="G30" i="37"/>
  <c r="G29" i="37"/>
  <c r="G28" i="37"/>
  <c r="G27" i="37"/>
  <c r="G26" i="37"/>
  <c r="G25" i="37"/>
  <c r="G24" i="37"/>
  <c r="G23" i="37"/>
  <c r="G22" i="37"/>
  <c r="G21" i="37"/>
  <c r="G20" i="37"/>
  <c r="G19" i="37"/>
  <c r="G18" i="37"/>
  <c r="G17" i="37"/>
  <c r="G16" i="37"/>
  <c r="G15" i="37"/>
  <c r="G14" i="37"/>
  <c r="G13" i="37"/>
  <c r="G12" i="37"/>
  <c r="G11" i="37"/>
  <c r="G10" i="37"/>
  <c r="G9" i="37"/>
  <c r="G8" i="37"/>
  <c r="G7" i="37"/>
  <c r="G6" i="37"/>
  <c r="G5" i="37"/>
  <c r="G4" i="37"/>
  <c r="G3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A62" i="37"/>
  <c r="A61" i="37"/>
  <c r="A60" i="37"/>
  <c r="A59" i="37"/>
  <c r="A58" i="37"/>
  <c r="A57" i="37"/>
  <c r="A56" i="37"/>
  <c r="A55" i="37"/>
  <c r="A54" i="37"/>
  <c r="A53" i="37"/>
  <c r="A52" i="37"/>
  <c r="A51" i="37"/>
  <c r="A50" i="37"/>
  <c r="A49" i="37"/>
  <c r="A48" i="37"/>
  <c r="A47" i="37"/>
  <c r="A46" i="37"/>
  <c r="A45" i="37"/>
  <c r="A44" i="37"/>
  <c r="A43" i="37"/>
  <c r="A42" i="37"/>
  <c r="A41" i="37"/>
  <c r="A40" i="37"/>
  <c r="A39" i="37"/>
  <c r="A38" i="37"/>
  <c r="A37" i="37"/>
  <c r="A36" i="37"/>
  <c r="A35" i="37"/>
  <c r="A34" i="37"/>
  <c r="A33" i="37"/>
  <c r="A32" i="37"/>
  <c r="A31" i="37"/>
  <c r="A30" i="37"/>
  <c r="A29" i="37"/>
  <c r="A28" i="37"/>
  <c r="A27" i="37"/>
  <c r="A26" i="37"/>
  <c r="A25" i="37"/>
  <c r="A24" i="37"/>
  <c r="A23" i="37"/>
  <c r="A22" i="37"/>
  <c r="A21" i="37"/>
  <c r="A20" i="37"/>
  <c r="A19" i="37"/>
  <c r="A18" i="37"/>
  <c r="A17" i="37"/>
  <c r="A16" i="37"/>
  <c r="A15" i="37"/>
  <c r="A14" i="37"/>
  <c r="A13" i="37"/>
  <c r="A12" i="37"/>
  <c r="A11" i="37"/>
  <c r="A10" i="37"/>
  <c r="A9" i="37"/>
  <c r="A8" i="37"/>
  <c r="A7" i="37"/>
  <c r="A6" i="37"/>
  <c r="A5" i="37"/>
  <c r="A4" i="37"/>
  <c r="A3" i="37"/>
  <c r="D3" i="40"/>
  <c r="D4" i="40"/>
  <c r="D2" i="40"/>
  <c r="X5" i="41" l="1"/>
  <c r="X4" i="41" l="1"/>
  <c r="X3" i="41"/>
  <c r="N5" i="41" l="1"/>
  <c r="O12" i="37"/>
  <c r="O32" i="37" s="1"/>
  <c r="O11" i="37"/>
  <c r="O29" i="37" s="1"/>
  <c r="O10" i="37"/>
  <c r="O31" i="37" s="1"/>
  <c r="O9" i="37"/>
  <c r="O28" i="37" s="1"/>
  <c r="O8" i="37"/>
  <c r="O30" i="37" s="1"/>
  <c r="O7" i="37"/>
  <c r="O27" i="37" s="1"/>
  <c r="AT4" i="38"/>
  <c r="AT5" i="38"/>
  <c r="AT6" i="38"/>
  <c r="AT7" i="38"/>
  <c r="AT8" i="38"/>
  <c r="AT9" i="38"/>
  <c r="AT10" i="38"/>
  <c r="AT11" i="38"/>
  <c r="AT12" i="38"/>
  <c r="AT13" i="38"/>
  <c r="AT14" i="38"/>
  <c r="AT15" i="38"/>
  <c r="AT16" i="38"/>
  <c r="AT17" i="38"/>
  <c r="AT18" i="38"/>
  <c r="AT19" i="38"/>
  <c r="AT20" i="38"/>
  <c r="AT21" i="38"/>
  <c r="AT22" i="38"/>
  <c r="AT23" i="38"/>
  <c r="AT24" i="38"/>
  <c r="AT25" i="38"/>
  <c r="AT26" i="38"/>
  <c r="AT27" i="38"/>
  <c r="AT28" i="38"/>
  <c r="AT29" i="38"/>
  <c r="AT30" i="38"/>
  <c r="AT31" i="38"/>
  <c r="AT32" i="38"/>
  <c r="AT33" i="38"/>
  <c r="AT34" i="38"/>
  <c r="AT35" i="38"/>
  <c r="AT36" i="38"/>
  <c r="AT37" i="38"/>
  <c r="AT38" i="38"/>
  <c r="AT39" i="38"/>
  <c r="AT40" i="38"/>
  <c r="AT41" i="38"/>
  <c r="AT42" i="38"/>
  <c r="AT43" i="38"/>
  <c r="AT44" i="38"/>
  <c r="AT45" i="38"/>
  <c r="AT46" i="38"/>
  <c r="AT47" i="38"/>
  <c r="AT48" i="38"/>
  <c r="AT49" i="38"/>
  <c r="AT50" i="38"/>
  <c r="AD4" i="38"/>
  <c r="AD5" i="38"/>
  <c r="AD6" i="38"/>
  <c r="AD7" i="38"/>
  <c r="AD8" i="38"/>
  <c r="AD9" i="38"/>
  <c r="AD10" i="38"/>
  <c r="AD11" i="38"/>
  <c r="AD12" i="38"/>
  <c r="AD13" i="38"/>
  <c r="AD14" i="38"/>
  <c r="AD15" i="38"/>
  <c r="AD16" i="38"/>
  <c r="AD17" i="38"/>
  <c r="AD18" i="38"/>
  <c r="AD19" i="38"/>
  <c r="AD20" i="38"/>
  <c r="AD21" i="38"/>
  <c r="AD22" i="38"/>
  <c r="AD23" i="38"/>
  <c r="AD24" i="38"/>
  <c r="AD25" i="38"/>
  <c r="AD26" i="38"/>
  <c r="AD27" i="38"/>
  <c r="AD28" i="38"/>
  <c r="AD29" i="38"/>
  <c r="AD30" i="38"/>
  <c r="AD31" i="38"/>
  <c r="AD32" i="38"/>
  <c r="AD33" i="38"/>
  <c r="AD34" i="38"/>
  <c r="AD35" i="38"/>
  <c r="AD36" i="38"/>
  <c r="AD37" i="38"/>
  <c r="AD38" i="38"/>
  <c r="AD39" i="38"/>
  <c r="AD40" i="38"/>
  <c r="AD41" i="38"/>
  <c r="AD42" i="38"/>
  <c r="AD43" i="38"/>
  <c r="AD44" i="38"/>
  <c r="AD45" i="38"/>
  <c r="AD46" i="38"/>
  <c r="AD47" i="38"/>
  <c r="AD48" i="38"/>
  <c r="AD49" i="38"/>
  <c r="AD50" i="38"/>
  <c r="AD51" i="38"/>
  <c r="AD52" i="38"/>
  <c r="AD53" i="38"/>
  <c r="AD54" i="38"/>
  <c r="AD55" i="38"/>
  <c r="AD56" i="38"/>
  <c r="AD57" i="38"/>
  <c r="AD58" i="38"/>
  <c r="AD59" i="38"/>
  <c r="AD60" i="38"/>
  <c r="AD61" i="38"/>
  <c r="AD62" i="38"/>
  <c r="AD63" i="38"/>
  <c r="N4" i="38"/>
  <c r="N5" i="38"/>
  <c r="N6" i="38"/>
  <c r="N7" i="38"/>
  <c r="N8" i="38"/>
  <c r="N9" i="38"/>
  <c r="N10" i="38"/>
  <c r="N11" i="38"/>
  <c r="N12" i="38"/>
  <c r="N13" i="38"/>
  <c r="N14" i="38"/>
  <c r="N15" i="38"/>
  <c r="N16" i="38"/>
  <c r="N17" i="38"/>
  <c r="N18" i="38"/>
  <c r="N19" i="38"/>
  <c r="N20" i="38"/>
  <c r="N21" i="38"/>
  <c r="N22" i="38"/>
  <c r="N23" i="38"/>
  <c r="N24" i="38"/>
  <c r="N25" i="38"/>
  <c r="N26" i="38"/>
  <c r="N27" i="38"/>
  <c r="N28" i="38"/>
  <c r="N29" i="38"/>
  <c r="N30" i="38"/>
  <c r="N31" i="38"/>
  <c r="N32" i="38"/>
  <c r="N33" i="38"/>
  <c r="N34" i="38"/>
  <c r="N35" i="38"/>
  <c r="N36" i="38"/>
  <c r="N37" i="38"/>
  <c r="N38" i="38"/>
  <c r="N39" i="38"/>
  <c r="N40" i="38"/>
  <c r="N41" i="38"/>
  <c r="N42" i="38"/>
  <c r="N43" i="38"/>
  <c r="N44" i="38"/>
  <c r="N45" i="38"/>
  <c r="N46" i="38"/>
  <c r="N47" i="38"/>
  <c r="N48" i="38"/>
  <c r="N49" i="38"/>
  <c r="N50" i="38"/>
  <c r="N51" i="38"/>
  <c r="N52" i="38"/>
  <c r="N53" i="38"/>
  <c r="N54" i="38"/>
  <c r="N55" i="38"/>
  <c r="N56" i="38"/>
  <c r="N57" i="38"/>
  <c r="N58" i="38"/>
  <c r="N59" i="38"/>
  <c r="N60" i="38"/>
  <c r="N61" i="38"/>
  <c r="N62" i="38"/>
  <c r="N63" i="38"/>
  <c r="N64" i="38"/>
  <c r="N65" i="38"/>
  <c r="AL7" i="38"/>
  <c r="AL8" i="38"/>
  <c r="AL9" i="38"/>
  <c r="AL10" i="38"/>
  <c r="AL11" i="38"/>
  <c r="AL12" i="38"/>
  <c r="AL13" i="38"/>
  <c r="AL14" i="38"/>
  <c r="AL15" i="38"/>
  <c r="AL16" i="38"/>
  <c r="AL17" i="38"/>
  <c r="AL18" i="38"/>
  <c r="AL19" i="38"/>
  <c r="AL20" i="38"/>
  <c r="AL21" i="38"/>
  <c r="AL22" i="38"/>
  <c r="AL23" i="38"/>
  <c r="AL24" i="38"/>
  <c r="AL25" i="38"/>
  <c r="AL26" i="38"/>
  <c r="AL27" i="38"/>
  <c r="AL28" i="38"/>
  <c r="AL29" i="38"/>
  <c r="AL30" i="38"/>
  <c r="AL31" i="38"/>
  <c r="AL32" i="38"/>
  <c r="AL33" i="38"/>
  <c r="AL34" i="38"/>
  <c r="AL35" i="38"/>
  <c r="AL36" i="38"/>
  <c r="AL37" i="38"/>
  <c r="AL38" i="38"/>
  <c r="AL39" i="38"/>
  <c r="AL40" i="38"/>
  <c r="AL41" i="38"/>
  <c r="AL42" i="38"/>
  <c r="AL43" i="38"/>
  <c r="AL44" i="38"/>
  <c r="AL45" i="38"/>
  <c r="AL46" i="38"/>
  <c r="AL47" i="38"/>
  <c r="AL48" i="38"/>
  <c r="AL49" i="38"/>
  <c r="AL50" i="38"/>
  <c r="AL4" i="38"/>
  <c r="AL5" i="38"/>
  <c r="AL6" i="38"/>
  <c r="V4" i="38"/>
  <c r="V5" i="38"/>
  <c r="V6" i="38"/>
  <c r="V7" i="38"/>
  <c r="V8" i="38"/>
  <c r="V9" i="38"/>
  <c r="V10" i="38"/>
  <c r="V11" i="38"/>
  <c r="V12" i="38"/>
  <c r="V13" i="38"/>
  <c r="V14" i="38"/>
  <c r="V15" i="38"/>
  <c r="V16" i="38"/>
  <c r="V17" i="38"/>
  <c r="V18" i="38"/>
  <c r="V19" i="38"/>
  <c r="V20" i="38"/>
  <c r="V21" i="38"/>
  <c r="V22" i="38"/>
  <c r="V23" i="38"/>
  <c r="V24" i="38"/>
  <c r="V25" i="38"/>
  <c r="V26" i="38"/>
  <c r="V27" i="38"/>
  <c r="V28" i="38"/>
  <c r="V29" i="38"/>
  <c r="V30" i="38"/>
  <c r="V31" i="38"/>
  <c r="V32" i="38"/>
  <c r="V33" i="38"/>
  <c r="V34" i="38"/>
  <c r="V35" i="38"/>
  <c r="V36" i="38"/>
  <c r="V37" i="38"/>
  <c r="V38" i="38"/>
  <c r="V39" i="38"/>
  <c r="V40" i="38"/>
  <c r="V41" i="38"/>
  <c r="V42" i="38"/>
  <c r="V43" i="38"/>
  <c r="V44" i="38"/>
  <c r="V45" i="38"/>
  <c r="V46" i="38"/>
  <c r="V47" i="38"/>
  <c r="V48" i="38"/>
  <c r="V49" i="38"/>
  <c r="V50" i="38"/>
  <c r="V51" i="38"/>
  <c r="V52" i="38"/>
  <c r="V53" i="38"/>
  <c r="V54" i="38"/>
  <c r="V55" i="38"/>
  <c r="V56" i="38"/>
  <c r="V57" i="38"/>
  <c r="V58" i="38"/>
  <c r="V59" i="38"/>
  <c r="V60" i="38"/>
  <c r="V61" i="38"/>
  <c r="V62" i="38"/>
  <c r="V63" i="38"/>
  <c r="F4" i="38"/>
  <c r="F5" i="38"/>
  <c r="F6" i="38"/>
  <c r="F7" i="38"/>
  <c r="F8" i="38"/>
  <c r="F9" i="38"/>
  <c r="F10" i="38"/>
  <c r="F11" i="38"/>
  <c r="F12" i="38"/>
  <c r="F13" i="38"/>
  <c r="F14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F27" i="38"/>
  <c r="F28" i="38"/>
  <c r="F29" i="38"/>
  <c r="F30" i="38"/>
  <c r="F31" i="38"/>
  <c r="F32" i="38"/>
  <c r="F33" i="38"/>
  <c r="F34" i="38"/>
  <c r="F35" i="38"/>
  <c r="F36" i="38"/>
  <c r="F37" i="38"/>
  <c r="F38" i="38"/>
  <c r="F39" i="38"/>
  <c r="F40" i="38"/>
  <c r="F41" i="38"/>
  <c r="F42" i="38"/>
  <c r="F43" i="38"/>
  <c r="F44" i="38"/>
  <c r="F45" i="38"/>
  <c r="F46" i="38"/>
  <c r="F47" i="38"/>
  <c r="F48" i="38"/>
  <c r="F49" i="38"/>
  <c r="F50" i="38"/>
  <c r="F51" i="38"/>
  <c r="F52" i="38"/>
  <c r="F53" i="38"/>
  <c r="F54" i="38"/>
  <c r="F55" i="38"/>
  <c r="F56" i="38"/>
  <c r="F57" i="38"/>
  <c r="F58" i="38"/>
  <c r="F59" i="38"/>
  <c r="F60" i="38"/>
  <c r="F61" i="38"/>
  <c r="F62" i="38"/>
  <c r="F63" i="38"/>
  <c r="F64" i="38"/>
  <c r="F65" i="38"/>
  <c r="AT3" i="38"/>
  <c r="AL3" i="38"/>
  <c r="AD3" i="38"/>
  <c r="V3" i="38"/>
  <c r="N12" i="37"/>
  <c r="N11" i="37"/>
  <c r="N10" i="37"/>
  <c r="N9" i="37"/>
  <c r="O42" i="37" l="1"/>
  <c r="O41" i="37"/>
  <c r="AF3" i="38"/>
  <c r="AF4" i="38" s="1"/>
  <c r="AN3" i="38"/>
  <c r="AN4" i="38" s="1"/>
  <c r="AN2" i="38"/>
  <c r="AZ11" i="38" s="1"/>
  <c r="AZ21" i="38" s="1"/>
  <c r="AF2" i="38"/>
  <c r="AZ10" i="38" s="1"/>
  <c r="AZ23" i="38" s="1"/>
  <c r="AV3" i="38"/>
  <c r="AV4" i="38" s="1"/>
  <c r="AV2" i="38"/>
  <c r="AZ12" i="38" s="1"/>
  <c r="AZ24" i="38" s="1"/>
  <c r="AE5" i="41" s="1"/>
  <c r="AF5" i="41" s="1"/>
  <c r="X2" i="38"/>
  <c r="AZ9" i="38" s="1"/>
  <c r="AZ20" i="38" s="1"/>
  <c r="X3" i="38"/>
  <c r="X4" i="38" s="1"/>
  <c r="N3" i="38" l="1"/>
  <c r="F3" i="38"/>
  <c r="N8" i="37"/>
  <c r="N7" i="37"/>
  <c r="N4" i="41"/>
  <c r="H3" i="38" l="1"/>
  <c r="H4" i="38" s="1"/>
  <c r="H2" i="38"/>
  <c r="AZ7" i="38" s="1"/>
  <c r="AZ19" i="38" s="1"/>
  <c r="P2" i="38"/>
  <c r="AZ8" i="38" s="1"/>
  <c r="AZ22" i="38" s="1"/>
  <c r="AE3" i="41" s="1"/>
  <c r="AF3" i="41" s="1"/>
  <c r="P3" i="38"/>
  <c r="P4" i="38" s="1"/>
  <c r="N3" i="41"/>
</calcChain>
</file>

<file path=xl/sharedStrings.xml><?xml version="1.0" encoding="utf-8"?>
<sst xmlns="http://schemas.openxmlformats.org/spreadsheetml/2006/main" count="282" uniqueCount="109">
  <si>
    <t>Vp [m/s]</t>
  </si>
  <si>
    <t>Vs [m/s]</t>
  </si>
  <si>
    <t>UCS [MPa]</t>
  </si>
  <si>
    <t>Average</t>
  </si>
  <si>
    <t>Mean (Average)</t>
  </si>
  <si>
    <t xml:space="preserve">d </t>
  </si>
  <si>
    <t>Standard Deviation</t>
  </si>
  <si>
    <t>Standard Error</t>
  </si>
  <si>
    <t>Length</t>
  </si>
  <si>
    <t>Core Sample</t>
  </si>
  <si>
    <t>Diameter</t>
  </si>
  <si>
    <t>(cm)</t>
  </si>
  <si>
    <t>(in)</t>
  </si>
  <si>
    <t>(g)</t>
  </si>
  <si>
    <t>MPa</t>
  </si>
  <si>
    <t>Depth [m]</t>
  </si>
  <si>
    <t xml:space="preserve">Depth [m] </t>
  </si>
  <si>
    <t xml:space="preserve"> [-]</t>
  </si>
  <si>
    <t>[Mpa.√m]</t>
  </si>
  <si>
    <t xml:space="preserve">FT [N] </t>
  </si>
  <si>
    <t>Pre-Treatment Weight</t>
  </si>
  <si>
    <t>Pre-Treatment Bulk Density</t>
  </si>
  <si>
    <t>[Mpa]</t>
  </si>
  <si>
    <t xml:space="preserve">R=w/2 </t>
  </si>
  <si>
    <t>Sample ID</t>
  </si>
  <si>
    <t xml:space="preserve">Pre-Treatment </t>
  </si>
  <si>
    <t xml:space="preserve">Post-Microbial Treatment </t>
  </si>
  <si>
    <t>Length [m]</t>
  </si>
  <si>
    <t xml:space="preserve">Length [m] </t>
  </si>
  <si>
    <r>
      <t>K</t>
    </r>
    <r>
      <rPr>
        <b/>
        <vertAlign val="subscript"/>
        <sz val="11"/>
        <color theme="1"/>
        <rFont val="Calibri"/>
        <family val="2"/>
        <scheme val="minor"/>
      </rPr>
      <t>s</t>
    </r>
    <r>
      <rPr>
        <b/>
        <sz val="11"/>
        <color theme="1"/>
        <rFont val="Calibri"/>
        <family val="2"/>
        <scheme val="minor"/>
      </rPr>
      <t xml:space="preserve"> [Mpa</t>
    </r>
    <r>
      <rPr>
        <b/>
        <sz val="11"/>
        <color theme="1"/>
        <rFont val="Calibri"/>
        <family val="2"/>
      </rPr>
      <t>·</t>
    </r>
    <r>
      <rPr>
        <b/>
        <sz val="11"/>
        <color theme="1"/>
        <rFont val="Calibri"/>
        <family val="2"/>
        <scheme val="minor"/>
      </rPr>
      <t>√m]</t>
    </r>
  </si>
  <si>
    <t>Pre-Treatment - 1</t>
  </si>
  <si>
    <t>Pre-Treatment - 2</t>
  </si>
  <si>
    <t>Pre-Treatment - 3</t>
  </si>
  <si>
    <t>Post-Treatment - 3</t>
  </si>
  <si>
    <t>Post-Treatment - 1</t>
  </si>
  <si>
    <t>Post-Treatment - 2</t>
  </si>
  <si>
    <t xml:space="preserve"> [GPa]</t>
  </si>
  <si>
    <t xml:space="preserve"> (g/cm^3)</t>
  </si>
  <si>
    <t xml:space="preserve"> (kg/m^3)</t>
  </si>
  <si>
    <t>Post-Treatment Weight</t>
  </si>
  <si>
    <t>Post-Treatment Bulk Density</t>
  </si>
  <si>
    <t xml:space="preserve">Overall Average </t>
  </si>
  <si>
    <t>Poisson's ratio, ν  [-]</t>
  </si>
  <si>
    <t>15a</t>
  </si>
  <si>
    <t>16a</t>
  </si>
  <si>
    <t>Pre-Treatment UCS (MPa)</t>
  </si>
  <si>
    <t>Post-Microbial Treatment UCS (MPa)</t>
  </si>
  <si>
    <t>UCS Change (%)</t>
  </si>
  <si>
    <t>2a</t>
  </si>
  <si>
    <t>2b</t>
  </si>
  <si>
    <t>2c</t>
  </si>
  <si>
    <t>3a</t>
  </si>
  <si>
    <t>3b</t>
  </si>
  <si>
    <t>3c</t>
  </si>
  <si>
    <t>Pre-Treatment ν  (-)</t>
  </si>
  <si>
    <t>Post-Microbial Treatment  ν  (-)</t>
  </si>
  <si>
    <t xml:space="preserve"> ν Change (%)</t>
  </si>
  <si>
    <t>Ks (MPa·√m)</t>
  </si>
  <si>
    <t>Pre-Treatment Ks (MPa·√m)</t>
  </si>
  <si>
    <t>Post-Microbial Treatment Ks (MPa·√m)</t>
  </si>
  <si>
    <t>Ks Change (%)</t>
  </si>
  <si>
    <t xml:space="preserve"> UCS (MPa)</t>
  </si>
  <si>
    <t>Pre-Treatment Escr (GPa)</t>
  </si>
  <si>
    <t>Post-Microbial Treatment Escr (GPa)</t>
  </si>
  <si>
    <t>Young's Modulus Escr (GPa)</t>
  </si>
  <si>
    <t>4a</t>
  </si>
  <si>
    <t>4b</t>
  </si>
  <si>
    <t>4c</t>
  </si>
  <si>
    <t>7d</t>
  </si>
  <si>
    <t>7b</t>
  </si>
  <si>
    <t>7a</t>
  </si>
  <si>
    <t>7c</t>
  </si>
  <si>
    <t xml:space="preserve">Young's modulus </t>
  </si>
  <si>
    <t>Poisson's ratio</t>
  </si>
  <si>
    <r>
      <t>Pre-Treatment - C</t>
    </r>
    <r>
      <rPr>
        <b/>
        <i/>
        <sz val="12"/>
        <color theme="1"/>
        <rFont val="Calibri"/>
        <family val="2"/>
        <scheme val="minor"/>
      </rPr>
      <t>1</t>
    </r>
  </si>
  <si>
    <t>Post-Treatment - C1</t>
  </si>
  <si>
    <r>
      <t xml:space="preserve">Post-Treatment - </t>
    </r>
    <r>
      <rPr>
        <b/>
        <i/>
        <sz val="12"/>
        <color theme="1"/>
        <rFont val="Calibri"/>
        <family val="2"/>
        <scheme val="minor"/>
      </rPr>
      <t>C1</t>
    </r>
  </si>
  <si>
    <r>
      <t>Pre-Treatment - C</t>
    </r>
    <r>
      <rPr>
        <b/>
        <i/>
        <sz val="12"/>
        <color theme="1"/>
        <rFont val="Calibri"/>
        <family val="2"/>
        <scheme val="minor"/>
      </rPr>
      <t>2</t>
    </r>
  </si>
  <si>
    <t>Post-Treatment - C2</t>
  </si>
  <si>
    <r>
      <t>Pre-Treatment - C</t>
    </r>
    <r>
      <rPr>
        <b/>
        <i/>
        <sz val="12"/>
        <color theme="1"/>
        <rFont val="Calibri"/>
        <family val="2"/>
        <scheme val="minor"/>
      </rPr>
      <t>3</t>
    </r>
  </si>
  <si>
    <t>Post-Treatment - C3</t>
  </si>
  <si>
    <t>Pre-Treatment - C2</t>
  </si>
  <si>
    <t>Pre-Treatment - C3</t>
  </si>
  <si>
    <t>Pre-Treatment - C1</t>
  </si>
  <si>
    <t>C1</t>
  </si>
  <si>
    <t>C2</t>
  </si>
  <si>
    <t>C3</t>
  </si>
  <si>
    <r>
      <t xml:space="preserve">Pre-Treatment </t>
    </r>
    <r>
      <rPr>
        <b/>
        <sz val="11"/>
        <color theme="1"/>
        <rFont val="Calibri"/>
        <family val="2"/>
      </rPr>
      <t>ν</t>
    </r>
    <r>
      <rPr>
        <b/>
        <sz val="11"/>
        <color theme="1"/>
        <rFont val="Calibri"/>
        <family val="2"/>
        <scheme val="minor"/>
      </rPr>
      <t xml:space="preserve"> C1 </t>
    </r>
  </si>
  <si>
    <t>Pre-Treatment ν C2</t>
  </si>
  <si>
    <t>Pre-Treatment ν C3</t>
  </si>
  <si>
    <t xml:space="preserve">Post-Treatment ν C1 </t>
  </si>
  <si>
    <t>Post-Treatment ν C2</t>
  </si>
  <si>
    <t>Post-Treatment ν C3</t>
  </si>
  <si>
    <r>
      <t>Pre-Treatment E</t>
    </r>
    <r>
      <rPr>
        <b/>
        <vertAlign val="subscript"/>
        <sz val="11"/>
        <color theme="1"/>
        <rFont val="Calibri"/>
        <family val="2"/>
        <scheme val="minor"/>
      </rPr>
      <t>scr</t>
    </r>
    <r>
      <rPr>
        <b/>
        <sz val="11"/>
        <color theme="1"/>
        <rFont val="Calibri"/>
        <family val="2"/>
        <scheme val="minor"/>
      </rPr>
      <t xml:space="preserve"> C1 </t>
    </r>
  </si>
  <si>
    <r>
      <t>Pre-Treatment E</t>
    </r>
    <r>
      <rPr>
        <b/>
        <vertAlign val="subscript"/>
        <sz val="11"/>
        <color theme="1"/>
        <rFont val="Calibri"/>
        <family val="2"/>
        <scheme val="minor"/>
      </rPr>
      <t>scr</t>
    </r>
    <r>
      <rPr>
        <b/>
        <sz val="11"/>
        <color theme="1"/>
        <rFont val="Calibri"/>
        <family val="2"/>
        <scheme val="minor"/>
      </rPr>
      <t xml:space="preserve"> C2</t>
    </r>
  </si>
  <si>
    <r>
      <t>Pre-Treatment E</t>
    </r>
    <r>
      <rPr>
        <b/>
        <vertAlign val="subscript"/>
        <sz val="11"/>
        <color theme="1"/>
        <rFont val="Calibri"/>
        <family val="2"/>
        <scheme val="minor"/>
      </rPr>
      <t>scr</t>
    </r>
    <r>
      <rPr>
        <b/>
        <sz val="11"/>
        <color theme="1"/>
        <rFont val="Calibri"/>
        <family val="2"/>
        <scheme val="minor"/>
      </rPr>
      <t xml:space="preserve"> C3</t>
    </r>
  </si>
  <si>
    <r>
      <t>Post-Treatment E</t>
    </r>
    <r>
      <rPr>
        <b/>
        <vertAlign val="subscript"/>
        <sz val="11"/>
        <color theme="1"/>
        <rFont val="Calibri"/>
        <family val="2"/>
        <scheme val="minor"/>
      </rPr>
      <t>scr</t>
    </r>
    <r>
      <rPr>
        <b/>
        <sz val="11"/>
        <color theme="1"/>
        <rFont val="Calibri"/>
        <family val="2"/>
        <scheme val="minor"/>
      </rPr>
      <t xml:space="preserve"> C1 </t>
    </r>
  </si>
  <si>
    <r>
      <t>Post-Treatment E</t>
    </r>
    <r>
      <rPr>
        <b/>
        <vertAlign val="subscript"/>
        <sz val="11"/>
        <color theme="1"/>
        <rFont val="Calibri"/>
        <family val="2"/>
        <scheme val="minor"/>
      </rPr>
      <t>scr</t>
    </r>
    <r>
      <rPr>
        <b/>
        <sz val="11"/>
        <color theme="1"/>
        <rFont val="Calibri"/>
        <family val="2"/>
        <scheme val="minor"/>
      </rPr>
      <t xml:space="preserve"> C3</t>
    </r>
  </si>
  <si>
    <r>
      <t>Post-Treatment E</t>
    </r>
    <r>
      <rPr>
        <b/>
        <vertAlign val="subscript"/>
        <sz val="11"/>
        <color theme="1"/>
        <rFont val="Calibri"/>
        <family val="2"/>
        <scheme val="minor"/>
      </rPr>
      <t>scr</t>
    </r>
    <r>
      <rPr>
        <b/>
        <sz val="11"/>
        <color theme="1"/>
        <rFont val="Calibri"/>
        <family val="2"/>
        <scheme val="minor"/>
      </rPr>
      <t xml:space="preserve"> C2</t>
    </r>
  </si>
  <si>
    <t>Unit Weight Change (%)</t>
  </si>
  <si>
    <t xml:space="preserve">Total Bulk Volume </t>
  </si>
  <si>
    <t>(cm^3)</t>
  </si>
  <si>
    <t>Pre-treatment Unit Weight</t>
  </si>
  <si>
    <t xml:space="preserve"> (kN/m^3)</t>
  </si>
  <si>
    <t>Unit Weight Increase</t>
  </si>
  <si>
    <t>Post-treatment Unit Weight</t>
  </si>
  <si>
    <t>Pre-Treatment Unit Weight (kN/m^3)</t>
  </si>
  <si>
    <t>Post-Treatment Unit Weight (kN/m^3)</t>
  </si>
  <si>
    <t>Escr Change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</si>
</sst>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000"/>
    <numFmt numFmtId="166" formatCode="0.000000"/>
    <numFmt numFmtId="167" formatCode="0.0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67B4"/>
        <bgColor indexed="64"/>
      </patternFill>
    </fill>
    <fill>
      <patternFill patternType="solid">
        <fgColor rgb="FF17CF1B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2" fillId="0" borderId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16" fillId="0" borderId="0" xfId="0" applyFont="1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2" fontId="0" fillId="0" borderId="0" xfId="0" applyNumberFormat="1" applyAlignment="1">
      <alignment horizontal="left" vertical="top" wrapText="1"/>
    </xf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 vertical="top" wrapText="1"/>
    </xf>
    <xf numFmtId="0" fontId="16" fillId="0" borderId="0" xfId="0" applyFont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0" fontId="2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16" fillId="33" borderId="0" xfId="0" applyFont="1" applyFill="1" applyAlignment="1">
      <alignment horizontal="center" vertical="top"/>
    </xf>
    <xf numFmtId="2" fontId="16" fillId="0" borderId="0" xfId="0" applyNumberFormat="1" applyFont="1" applyAlignment="1">
      <alignment horizontal="left" vertical="top"/>
    </xf>
    <xf numFmtId="0" fontId="16" fillId="33" borderId="0" xfId="0" applyFont="1" applyFill="1" applyAlignment="1">
      <alignment horizontal="left" vertical="top"/>
    </xf>
    <xf numFmtId="166" fontId="0" fillId="0" borderId="0" xfId="0" applyNumberFormat="1" applyAlignment="1">
      <alignment horizontal="left"/>
    </xf>
    <xf numFmtId="0" fontId="0" fillId="0" borderId="0" xfId="0" applyAlignment="1">
      <alignment vertical="top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left" vertical="top"/>
    </xf>
    <xf numFmtId="0" fontId="23" fillId="0" borderId="0" xfId="0" applyFont="1" applyAlignment="1">
      <alignment horizontal="center" vertical="top"/>
    </xf>
    <xf numFmtId="0" fontId="16" fillId="0" borderId="0" xfId="0" applyFont="1" applyAlignment="1">
      <alignment horizontal="center" vertical="top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top"/>
    </xf>
    <xf numFmtId="2" fontId="16" fillId="0" borderId="0" xfId="0" applyNumberFormat="1" applyFont="1" applyAlignment="1">
      <alignment horizontal="center" vertical="top"/>
    </xf>
    <xf numFmtId="0" fontId="18" fillId="0" borderId="0" xfId="0" applyFont="1" applyAlignment="1">
      <alignment horizontal="left" vertical="top" wrapText="1"/>
    </xf>
    <xf numFmtId="0" fontId="16" fillId="0" borderId="0" xfId="0" applyFont="1" applyAlignment="1">
      <alignment horizontal="left"/>
    </xf>
    <xf numFmtId="0" fontId="23" fillId="0" borderId="0" xfId="0" applyFont="1" applyAlignment="1">
      <alignment horizontal="left" vertical="top"/>
    </xf>
    <xf numFmtId="165" fontId="0" fillId="0" borderId="0" xfId="0" applyNumberFormat="1" applyAlignment="1">
      <alignment horizontal="left" vertical="top"/>
    </xf>
    <xf numFmtId="2" fontId="16" fillId="0" borderId="0" xfId="0" applyNumberFormat="1" applyFont="1" applyAlignment="1">
      <alignment horizontal="left"/>
    </xf>
    <xf numFmtId="0" fontId="16" fillId="0" borderId="10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 wrapText="1"/>
    </xf>
    <xf numFmtId="0" fontId="0" fillId="33" borderId="0" xfId="0" applyFill="1" applyAlignment="1">
      <alignment horizontal="left"/>
    </xf>
    <xf numFmtId="165" fontId="0" fillId="33" borderId="0" xfId="0" applyNumberFormat="1" applyFill="1" applyAlignment="1">
      <alignment horizontal="left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33" borderId="0" xfId="0" applyNumberFormat="1" applyFill="1" applyAlignment="1">
      <alignment horizontal="left"/>
    </xf>
    <xf numFmtId="0" fontId="0" fillId="0" borderId="10" xfId="0" applyBorder="1"/>
    <xf numFmtId="0" fontId="16" fillId="0" borderId="13" xfId="0" applyFont="1" applyBorder="1" applyAlignment="1">
      <alignment horizontal="center" vertical="center" wrapText="1"/>
    </xf>
    <xf numFmtId="0" fontId="16" fillId="0" borderId="10" xfId="42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top"/>
    </xf>
    <xf numFmtId="2" fontId="1" fillId="0" borderId="10" xfId="43" applyNumberFormat="1" applyFont="1" applyFill="1" applyBorder="1" applyAlignment="1">
      <alignment horizontal="center" vertical="top"/>
    </xf>
    <xf numFmtId="2" fontId="20" fillId="0" borderId="10" xfId="0" applyNumberFormat="1" applyFont="1" applyBorder="1" applyAlignment="1">
      <alignment horizontal="center" vertical="top"/>
    </xf>
    <xf numFmtId="167" fontId="0" fillId="0" borderId="0" xfId="0" applyNumberFormat="1" applyAlignment="1">
      <alignment horizontal="center" vertical="top"/>
    </xf>
    <xf numFmtId="0" fontId="20" fillId="0" borderId="0" xfId="43" applyNumberFormat="1" applyFont="1" applyFill="1" applyBorder="1" applyAlignment="1">
      <alignment horizontal="center" vertical="top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top"/>
    </xf>
    <xf numFmtId="0" fontId="16" fillId="34" borderId="0" xfId="0" applyFont="1" applyFill="1" applyAlignment="1">
      <alignment horizontal="center" vertical="top"/>
    </xf>
    <xf numFmtId="0" fontId="16" fillId="35" borderId="0" xfId="0" applyFont="1" applyFill="1" applyAlignment="1">
      <alignment horizontal="center" vertical="top"/>
    </xf>
    <xf numFmtId="0" fontId="16" fillId="0" borderId="0" xfId="0" applyFont="1" applyAlignment="1">
      <alignment horizontal="center" vertical="top" wrapText="1"/>
    </xf>
    <xf numFmtId="2" fontId="20" fillId="0" borderId="0" xfId="0" applyNumberFormat="1" applyFont="1" applyAlignment="1">
      <alignment horizontal="center" vertical="top"/>
    </xf>
    <xf numFmtId="0" fontId="18" fillId="0" borderId="0" xfId="0" applyFont="1" applyAlignment="1">
      <alignment vertical="center"/>
    </xf>
    <xf numFmtId="164" fontId="20" fillId="0" borderId="0" xfId="0" applyNumberFormat="1" applyFont="1" applyAlignment="1">
      <alignment horizontal="center" vertical="top"/>
    </xf>
    <xf numFmtId="0" fontId="23" fillId="0" borderId="10" xfId="0" applyFont="1" applyBorder="1" applyAlignment="1">
      <alignment horizontal="left"/>
    </xf>
    <xf numFmtId="165" fontId="0" fillId="0" borderId="10" xfId="0" applyNumberFormat="1" applyBorder="1" applyAlignment="1">
      <alignment horizontal="left"/>
    </xf>
    <xf numFmtId="2" fontId="16" fillId="0" borderId="10" xfId="0" applyNumberFormat="1" applyFont="1" applyBorder="1" applyAlignment="1">
      <alignment horizontal="left"/>
    </xf>
    <xf numFmtId="0" fontId="0" fillId="0" borderId="10" xfId="0" applyBorder="1" applyAlignment="1">
      <alignment horizontal="left"/>
    </xf>
    <xf numFmtId="0" fontId="16" fillId="33" borderId="0" xfId="0" applyFont="1" applyFill="1" applyAlignment="1">
      <alignment horizontal="left" vertical="top" wrapText="1"/>
    </xf>
    <xf numFmtId="2" fontId="0" fillId="0" borderId="10" xfId="0" applyNumberFormat="1" applyBorder="1" applyAlignment="1">
      <alignment horizontal="left"/>
    </xf>
    <xf numFmtId="164" fontId="16" fillId="0" borderId="0" xfId="0" applyNumberFormat="1" applyFont="1" applyAlignment="1">
      <alignment horizontal="center" vertical="top"/>
    </xf>
    <xf numFmtId="0" fontId="16" fillId="33" borderId="0" xfId="0" applyFont="1" applyFill="1" applyAlignment="1">
      <alignment horizontal="center" vertical="top" wrapText="1"/>
    </xf>
    <xf numFmtId="165" fontId="0" fillId="0" borderId="0" xfId="0" applyNumberFormat="1" applyAlignment="1">
      <alignment horizontal="center" vertical="top"/>
    </xf>
    <xf numFmtId="167" fontId="0" fillId="0" borderId="10" xfId="0" applyNumberFormat="1" applyBorder="1" applyAlignment="1">
      <alignment horizontal="left"/>
    </xf>
    <xf numFmtId="165" fontId="0" fillId="0" borderId="10" xfId="0" applyNumberFormat="1" applyBorder="1" applyAlignment="1">
      <alignment horizontal="center" vertical="center"/>
    </xf>
    <xf numFmtId="0" fontId="21" fillId="35" borderId="0" xfId="0" applyFont="1" applyFill="1" applyAlignment="1">
      <alignment horizontal="center" vertical="top"/>
    </xf>
    <xf numFmtId="0" fontId="21" fillId="34" borderId="0" xfId="0" applyFont="1" applyFill="1" applyAlignment="1">
      <alignment horizontal="center" vertical="top"/>
    </xf>
    <xf numFmtId="0" fontId="21" fillId="35" borderId="0" xfId="0" applyFont="1" applyFill="1" applyAlignment="1">
      <alignment horizontal="center" vertical="top" wrapText="1"/>
    </xf>
    <xf numFmtId="0" fontId="21" fillId="34" borderId="0" xfId="0" applyFont="1" applyFill="1" applyAlignment="1">
      <alignment horizontal="center"/>
    </xf>
    <xf numFmtId="0" fontId="21" fillId="35" borderId="0" xfId="0" applyFont="1" applyFill="1" applyAlignment="1">
      <alignment horizontal="center"/>
    </xf>
    <xf numFmtId="0" fontId="18" fillId="0" borderId="11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DFDA00"/>
      <color rgb="FF4260F4"/>
      <color rgb="FF6DEF67"/>
      <color rgb="FF17CF1B"/>
      <color rgb="FF0067B4"/>
      <color rgb="FFBA8CDC"/>
      <color rgb="FFFF66FF"/>
      <color rgb="FFA3EFF7"/>
      <color rgb="FFB2B2B2"/>
      <color rgb="FF9FE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'v-Modulus'!$D$2</c:f>
              <c:strCache>
                <c:ptCount val="1"/>
                <c:pt idx="0">
                  <c:v>Pre-Treatment ν C1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Pre-Treatment ν C1 </c:nam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'v-Modulus'!$A$3:$A$4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'v-Modulus'!$D$3:$D$4</c:f>
              <c:numCache>
                <c:formatCode>0.0000</c:formatCode>
                <c:ptCount val="2"/>
                <c:pt idx="0">
                  <c:v>0.31509900000000002</c:v>
                </c:pt>
                <c:pt idx="1">
                  <c:v>0.32844299999999998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0A-4C58-BF61-23277EB07099}"/>
            </c:ext>
          </c:extLst>
        </c:ser>
        <c:ser>
          <c:idx val="0"/>
          <c:order val="1"/>
          <c:tx>
            <c:strRef>
              <c:f>'v-Modulus'!$I$2</c:f>
              <c:strCache>
                <c:ptCount val="1"/>
                <c:pt idx="0">
                  <c:v>Post-Treatment ν C1 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75000"/>
                  <a:alpha val="95000"/>
                </a:schemeClr>
              </a:solidFill>
              <a:ln w="9525">
                <a:noFill/>
              </a:ln>
              <a:effectLst/>
            </c:spPr>
          </c:marker>
          <c:trendline>
            <c:name>Post-Treatment ν C1 </c:nam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'v-Modulus'!$F$3:$F$4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'v-Modulus'!$I$3:$I$4</c:f>
              <c:numCache>
                <c:formatCode>General</c:formatCode>
                <c:ptCount val="2"/>
                <c:pt idx="0">
                  <c:v>0.192192</c:v>
                </c:pt>
                <c:pt idx="1">
                  <c:v>0.20463899999999999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0A-4C58-BF61-23277EB0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3919"/>
        <c:axId val="883760511"/>
      </c:scatterChart>
      <c:scatterChart>
        <c:scatterStyle val="lineMarker"/>
        <c:varyColors val="0"/>
        <c:ser>
          <c:idx val="1"/>
          <c:order val="2"/>
          <c:tx>
            <c:strRef>
              <c:f>'v-Modulus'!$E$2</c:f>
              <c:strCache>
                <c:ptCount val="1"/>
                <c:pt idx="0">
                  <c:v>Pre-Treatment Escr C1 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name>Pre-Treatment Escr C1 </c:name>
            <c:spPr>
              <a:ln w="254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'v-Modulus'!$A$3:$A$4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'v-Modulus'!$E$3:$E$4</c:f>
              <c:numCache>
                <c:formatCode>0.00</c:formatCode>
                <c:ptCount val="2"/>
                <c:pt idx="0">
                  <c:v>14.136957392744462</c:v>
                </c:pt>
                <c:pt idx="1">
                  <c:v>15.027936169719977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0A-4C58-BF61-23277EB07099}"/>
            </c:ext>
          </c:extLst>
        </c:ser>
        <c:ser>
          <c:idx val="3"/>
          <c:order val="3"/>
          <c:tx>
            <c:strRef>
              <c:f>'v-Modulus'!$J$2</c:f>
              <c:strCache>
                <c:ptCount val="1"/>
                <c:pt idx="0">
                  <c:v>Post-Treatment Escr C1 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name>Post-Treatment Escr C1 </c:nam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'v-Modulus'!$F$3:$F$4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'v-Modulus'!$J$3:$J$4</c:f>
              <c:numCache>
                <c:formatCode>0.00</c:formatCode>
                <c:ptCount val="2"/>
                <c:pt idx="0">
                  <c:v>61.852961865990721</c:v>
                </c:pt>
                <c:pt idx="1">
                  <c:v>57.60785436721995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0A-4C58-BF61-23277EB07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3487"/>
        <c:axId val="201670527"/>
      </c:scatterChart>
      <c:valAx>
        <c:axId val="734703919"/>
        <c:scaling>
          <c:orientation val="minMax"/>
          <c:min val="1778.5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60511"/>
        <c:crosses val="autoZero"/>
        <c:crossBetween val="midCat"/>
      </c:valAx>
      <c:valAx>
        <c:axId val="883760511"/>
        <c:scaling>
          <c:orientation val="minMax"/>
          <c:min val="0.15000000000000002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3919"/>
        <c:crosses val="autoZero"/>
        <c:crossBetween val="midCat"/>
      </c:valAx>
      <c:valAx>
        <c:axId val="201670527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rgbClr val="7030A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487"/>
        <c:crosses val="max"/>
        <c:crossBetween val="midCat"/>
      </c:valAx>
      <c:valAx>
        <c:axId val="20164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7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0523840018929018"/>
          <c:y val="6.9753466970264699E-3"/>
          <c:w val="0.65484888933468099"/>
          <c:h val="6.45276547192767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Ks!$AH$1</c:f>
              <c:strCache>
                <c:ptCount val="1"/>
                <c:pt idx="0">
                  <c:v>Pre-Treatment - C3</c:v>
                </c:pt>
              </c:strCache>
            </c:strRef>
          </c:tx>
          <c:spPr>
            <a:ln w="22225" cap="rnd">
              <a:solidFill>
                <a:srgbClr val="0067B4"/>
              </a:solidFill>
              <a:round/>
            </a:ln>
            <a:effectLst/>
          </c:spPr>
          <c:marker>
            <c:symbol val="none"/>
          </c:marker>
          <c:xVal>
            <c:numRef>
              <c:f>Ks!$AH$3:$AH$50</c:f>
              <c:numCache>
                <c:formatCode>0.00</c:formatCode>
                <c:ptCount val="48"/>
                <c:pt idx="0">
                  <c:v>1778.52</c:v>
                </c:pt>
                <c:pt idx="1">
                  <c:v>1778.52</c:v>
                </c:pt>
                <c:pt idx="2">
                  <c:v>1778.52</c:v>
                </c:pt>
                <c:pt idx="3">
                  <c:v>1778.52</c:v>
                </c:pt>
                <c:pt idx="4">
                  <c:v>1778.53</c:v>
                </c:pt>
                <c:pt idx="5">
                  <c:v>1778.53</c:v>
                </c:pt>
                <c:pt idx="6">
                  <c:v>1778.53</c:v>
                </c:pt>
                <c:pt idx="7">
                  <c:v>1778.53</c:v>
                </c:pt>
                <c:pt idx="8">
                  <c:v>1778.53</c:v>
                </c:pt>
                <c:pt idx="9">
                  <c:v>1778.54</c:v>
                </c:pt>
                <c:pt idx="10">
                  <c:v>1778.54</c:v>
                </c:pt>
                <c:pt idx="11">
                  <c:v>1778.54</c:v>
                </c:pt>
                <c:pt idx="12">
                  <c:v>1778.54</c:v>
                </c:pt>
                <c:pt idx="13">
                  <c:v>1778.54</c:v>
                </c:pt>
                <c:pt idx="14">
                  <c:v>1778.55</c:v>
                </c:pt>
                <c:pt idx="15">
                  <c:v>1778.55</c:v>
                </c:pt>
                <c:pt idx="16">
                  <c:v>1778.55</c:v>
                </c:pt>
                <c:pt idx="17">
                  <c:v>1778.55</c:v>
                </c:pt>
                <c:pt idx="18">
                  <c:v>1778.55</c:v>
                </c:pt>
                <c:pt idx="19">
                  <c:v>1778.56</c:v>
                </c:pt>
                <c:pt idx="20">
                  <c:v>1778.56</c:v>
                </c:pt>
                <c:pt idx="21">
                  <c:v>1778.56</c:v>
                </c:pt>
                <c:pt idx="22">
                  <c:v>1778.56</c:v>
                </c:pt>
                <c:pt idx="23">
                  <c:v>1778.56</c:v>
                </c:pt>
                <c:pt idx="24">
                  <c:v>1778.57</c:v>
                </c:pt>
                <c:pt idx="25">
                  <c:v>1778.57</c:v>
                </c:pt>
                <c:pt idx="26">
                  <c:v>1778.57</c:v>
                </c:pt>
                <c:pt idx="27">
                  <c:v>1778.57</c:v>
                </c:pt>
                <c:pt idx="28">
                  <c:v>1778.57</c:v>
                </c:pt>
                <c:pt idx="29">
                  <c:v>1778.58</c:v>
                </c:pt>
                <c:pt idx="30">
                  <c:v>1778.58</c:v>
                </c:pt>
                <c:pt idx="31">
                  <c:v>1778.58</c:v>
                </c:pt>
                <c:pt idx="32">
                  <c:v>1778.58</c:v>
                </c:pt>
                <c:pt idx="33">
                  <c:v>1778.58</c:v>
                </c:pt>
                <c:pt idx="34">
                  <c:v>1778.59</c:v>
                </c:pt>
                <c:pt idx="35">
                  <c:v>1778.59</c:v>
                </c:pt>
                <c:pt idx="36">
                  <c:v>1778.59</c:v>
                </c:pt>
                <c:pt idx="37">
                  <c:v>1778.59</c:v>
                </c:pt>
                <c:pt idx="38">
                  <c:v>1778.59</c:v>
                </c:pt>
                <c:pt idx="39">
                  <c:v>1778.6</c:v>
                </c:pt>
                <c:pt idx="40">
                  <c:v>1778.6</c:v>
                </c:pt>
                <c:pt idx="41">
                  <c:v>1778.6</c:v>
                </c:pt>
                <c:pt idx="42">
                  <c:v>1778.6</c:v>
                </c:pt>
                <c:pt idx="43">
                  <c:v>1778.6</c:v>
                </c:pt>
                <c:pt idx="44">
                  <c:v>1778.61</c:v>
                </c:pt>
                <c:pt idx="45">
                  <c:v>1778.61</c:v>
                </c:pt>
                <c:pt idx="46">
                  <c:v>1778.62</c:v>
                </c:pt>
                <c:pt idx="47">
                  <c:v>1778.62</c:v>
                </c:pt>
              </c:numCache>
            </c:numRef>
          </c:xVal>
          <c:yVal>
            <c:numRef>
              <c:f>Ks!$AL$3:$AL$50</c:f>
              <c:numCache>
                <c:formatCode>0.000</c:formatCode>
                <c:ptCount val="48"/>
                <c:pt idx="0">
                  <c:v>2.6560000000000001</c:v>
                </c:pt>
                <c:pt idx="1">
                  <c:v>2.6819999999999999</c:v>
                </c:pt>
                <c:pt idx="2">
                  <c:v>2.63</c:v>
                </c:pt>
                <c:pt idx="3">
                  <c:v>2.46</c:v>
                </c:pt>
                <c:pt idx="4">
                  <c:v>2.444</c:v>
                </c:pt>
                <c:pt idx="5">
                  <c:v>2.3480000000000003</c:v>
                </c:pt>
                <c:pt idx="6">
                  <c:v>2.1480000000000001</c:v>
                </c:pt>
                <c:pt idx="7">
                  <c:v>2.1040000000000001</c:v>
                </c:pt>
                <c:pt idx="8">
                  <c:v>2.3919999999999999</c:v>
                </c:pt>
                <c:pt idx="9">
                  <c:v>2.524</c:v>
                </c:pt>
                <c:pt idx="10">
                  <c:v>2.58</c:v>
                </c:pt>
                <c:pt idx="11">
                  <c:v>2.7080000000000002</c:v>
                </c:pt>
                <c:pt idx="12">
                  <c:v>2.7719999999999998</c:v>
                </c:pt>
                <c:pt idx="13">
                  <c:v>2.738</c:v>
                </c:pt>
                <c:pt idx="14">
                  <c:v>2.5780000000000003</c:v>
                </c:pt>
                <c:pt idx="15">
                  <c:v>2.6139999999999999</c:v>
                </c:pt>
                <c:pt idx="16">
                  <c:v>2.7719999999999998</c:v>
                </c:pt>
                <c:pt idx="17">
                  <c:v>2.9019999999999997</c:v>
                </c:pt>
                <c:pt idx="18">
                  <c:v>2.95</c:v>
                </c:pt>
                <c:pt idx="19">
                  <c:v>3.0439999999999996</c:v>
                </c:pt>
                <c:pt idx="20">
                  <c:v>2.9260000000000002</c:v>
                </c:pt>
                <c:pt idx="21">
                  <c:v>2.7439999999999998</c:v>
                </c:pt>
                <c:pt idx="22">
                  <c:v>2.802</c:v>
                </c:pt>
                <c:pt idx="23">
                  <c:v>2.8480000000000003</c:v>
                </c:pt>
                <c:pt idx="24">
                  <c:v>2.8839999999999999</c:v>
                </c:pt>
                <c:pt idx="25">
                  <c:v>3.09</c:v>
                </c:pt>
                <c:pt idx="26">
                  <c:v>3.2760000000000002</c:v>
                </c:pt>
                <c:pt idx="27">
                  <c:v>3.2560000000000002</c:v>
                </c:pt>
                <c:pt idx="28">
                  <c:v>3.2119999999999997</c:v>
                </c:pt>
                <c:pt idx="29">
                  <c:v>3.16</c:v>
                </c:pt>
                <c:pt idx="30">
                  <c:v>3.0139999999999998</c:v>
                </c:pt>
                <c:pt idx="31">
                  <c:v>2.8839999999999999</c:v>
                </c:pt>
                <c:pt idx="32">
                  <c:v>2.718</c:v>
                </c:pt>
                <c:pt idx="33">
                  <c:v>2.694</c:v>
                </c:pt>
                <c:pt idx="34">
                  <c:v>2.78</c:v>
                </c:pt>
                <c:pt idx="35">
                  <c:v>2.8519999999999999</c:v>
                </c:pt>
                <c:pt idx="36">
                  <c:v>3.0060000000000002</c:v>
                </c:pt>
                <c:pt idx="37">
                  <c:v>3.11</c:v>
                </c:pt>
                <c:pt idx="38">
                  <c:v>3.1880000000000002</c:v>
                </c:pt>
                <c:pt idx="39">
                  <c:v>3.1880000000000002</c:v>
                </c:pt>
                <c:pt idx="40">
                  <c:v>3.2160000000000002</c:v>
                </c:pt>
                <c:pt idx="41">
                  <c:v>3.198</c:v>
                </c:pt>
                <c:pt idx="42">
                  <c:v>3.1839999999999997</c:v>
                </c:pt>
                <c:pt idx="43">
                  <c:v>3.0680000000000001</c:v>
                </c:pt>
                <c:pt idx="44">
                  <c:v>3.0060000000000002</c:v>
                </c:pt>
                <c:pt idx="45">
                  <c:v>2.9060000000000001</c:v>
                </c:pt>
                <c:pt idx="46">
                  <c:v>2.8</c:v>
                </c:pt>
                <c:pt idx="47">
                  <c:v>2.7639999999999998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B0-4B9D-B1DD-BF48346D2388}"/>
            </c:ext>
          </c:extLst>
        </c:ser>
        <c:ser>
          <c:idx val="1"/>
          <c:order val="1"/>
          <c:tx>
            <c:strRef>
              <c:f>Ks!$AP$1</c:f>
              <c:strCache>
                <c:ptCount val="1"/>
                <c:pt idx="0">
                  <c:v>Post-Treatment - C3</c:v>
                </c:pt>
              </c:strCache>
            </c:strRef>
          </c:tx>
          <c:spPr>
            <a:ln w="22225" cap="rnd">
              <a:solidFill>
                <a:srgbClr val="17CF1B"/>
              </a:solidFill>
              <a:round/>
            </a:ln>
            <a:effectLst/>
          </c:spPr>
          <c:marker>
            <c:symbol val="none"/>
          </c:marker>
          <c:xVal>
            <c:numRef>
              <c:f>Ks!$AP$3:$AP$50</c:f>
              <c:numCache>
                <c:formatCode>0.00</c:formatCode>
                <c:ptCount val="48"/>
                <c:pt idx="0">
                  <c:v>1778.52</c:v>
                </c:pt>
                <c:pt idx="1">
                  <c:v>1778.52</c:v>
                </c:pt>
                <c:pt idx="2">
                  <c:v>1778.52</c:v>
                </c:pt>
                <c:pt idx="3">
                  <c:v>1778.52</c:v>
                </c:pt>
                <c:pt idx="4">
                  <c:v>1778.53</c:v>
                </c:pt>
                <c:pt idx="5">
                  <c:v>1778.53</c:v>
                </c:pt>
                <c:pt idx="6">
                  <c:v>1778.53</c:v>
                </c:pt>
                <c:pt idx="7">
                  <c:v>1778.53</c:v>
                </c:pt>
                <c:pt idx="8">
                  <c:v>1778.53</c:v>
                </c:pt>
                <c:pt idx="9">
                  <c:v>1778.54</c:v>
                </c:pt>
                <c:pt idx="10">
                  <c:v>1778.54</c:v>
                </c:pt>
                <c:pt idx="11">
                  <c:v>1778.54</c:v>
                </c:pt>
                <c:pt idx="12">
                  <c:v>1778.54</c:v>
                </c:pt>
                <c:pt idx="13">
                  <c:v>1778.54</c:v>
                </c:pt>
                <c:pt idx="14">
                  <c:v>1778.55</c:v>
                </c:pt>
                <c:pt idx="15">
                  <c:v>1778.55</c:v>
                </c:pt>
                <c:pt idx="16">
                  <c:v>1778.55</c:v>
                </c:pt>
                <c:pt idx="17">
                  <c:v>1778.55</c:v>
                </c:pt>
                <c:pt idx="18">
                  <c:v>1778.55</c:v>
                </c:pt>
                <c:pt idx="19">
                  <c:v>1778.56</c:v>
                </c:pt>
                <c:pt idx="20">
                  <c:v>1778.56</c:v>
                </c:pt>
                <c:pt idx="21">
                  <c:v>1778.56</c:v>
                </c:pt>
                <c:pt idx="22">
                  <c:v>1778.56</c:v>
                </c:pt>
                <c:pt idx="23">
                  <c:v>1778.56</c:v>
                </c:pt>
                <c:pt idx="24">
                  <c:v>1778.57</c:v>
                </c:pt>
                <c:pt idx="25">
                  <c:v>1778.57</c:v>
                </c:pt>
                <c:pt idx="26">
                  <c:v>1778.57</c:v>
                </c:pt>
                <c:pt idx="27">
                  <c:v>1778.57</c:v>
                </c:pt>
                <c:pt idx="28">
                  <c:v>1778.57</c:v>
                </c:pt>
                <c:pt idx="29">
                  <c:v>1778.58</c:v>
                </c:pt>
                <c:pt idx="30">
                  <c:v>1778.58</c:v>
                </c:pt>
                <c:pt idx="31">
                  <c:v>1778.58</c:v>
                </c:pt>
                <c:pt idx="32">
                  <c:v>1778.58</c:v>
                </c:pt>
                <c:pt idx="33">
                  <c:v>1778.58</c:v>
                </c:pt>
                <c:pt idx="34">
                  <c:v>1778.59</c:v>
                </c:pt>
                <c:pt idx="35">
                  <c:v>1778.59</c:v>
                </c:pt>
                <c:pt idx="36">
                  <c:v>1778.59</c:v>
                </c:pt>
                <c:pt idx="37">
                  <c:v>1778.59</c:v>
                </c:pt>
                <c:pt idx="38">
                  <c:v>1778.59</c:v>
                </c:pt>
                <c:pt idx="39">
                  <c:v>1778.6</c:v>
                </c:pt>
                <c:pt idx="40">
                  <c:v>1778.6</c:v>
                </c:pt>
                <c:pt idx="41">
                  <c:v>1778.6</c:v>
                </c:pt>
                <c:pt idx="42">
                  <c:v>1778.6</c:v>
                </c:pt>
                <c:pt idx="43">
                  <c:v>1778.6</c:v>
                </c:pt>
                <c:pt idx="44">
                  <c:v>1778.61</c:v>
                </c:pt>
                <c:pt idx="45">
                  <c:v>1778.61</c:v>
                </c:pt>
                <c:pt idx="46">
                  <c:v>1778.62</c:v>
                </c:pt>
                <c:pt idx="47">
                  <c:v>1778.62</c:v>
                </c:pt>
              </c:numCache>
            </c:numRef>
          </c:xVal>
          <c:yVal>
            <c:numRef>
              <c:f>Ks!$AT$3:$AT$50</c:f>
              <c:numCache>
                <c:formatCode>0.000</c:formatCode>
                <c:ptCount val="48"/>
                <c:pt idx="0">
                  <c:v>7.4720000000000004</c:v>
                </c:pt>
                <c:pt idx="1">
                  <c:v>7.7139999999999995</c:v>
                </c:pt>
                <c:pt idx="2">
                  <c:v>8.0660000000000007</c:v>
                </c:pt>
                <c:pt idx="3">
                  <c:v>8.3000000000000007</c:v>
                </c:pt>
                <c:pt idx="4">
                  <c:v>8.572000000000001</c:v>
                </c:pt>
                <c:pt idx="5">
                  <c:v>9.1340000000000003</c:v>
                </c:pt>
                <c:pt idx="6">
                  <c:v>8.9559999999999995</c:v>
                </c:pt>
                <c:pt idx="7">
                  <c:v>9.0640000000000001</c:v>
                </c:pt>
                <c:pt idx="8">
                  <c:v>9.0779999999999994</c:v>
                </c:pt>
                <c:pt idx="9">
                  <c:v>9.6479999999999997</c:v>
                </c:pt>
                <c:pt idx="10">
                  <c:v>8.8179999999999996</c:v>
                </c:pt>
                <c:pt idx="11">
                  <c:v>8.5540000000000003</c:v>
                </c:pt>
                <c:pt idx="12">
                  <c:v>7.9359999999999999</c:v>
                </c:pt>
                <c:pt idx="13">
                  <c:v>7.9020000000000001</c:v>
                </c:pt>
                <c:pt idx="14">
                  <c:v>7.8920000000000003</c:v>
                </c:pt>
                <c:pt idx="15">
                  <c:v>7.8879999999999999</c:v>
                </c:pt>
                <c:pt idx="16">
                  <c:v>8.2279999999999998</c:v>
                </c:pt>
                <c:pt idx="17">
                  <c:v>8.5380000000000003</c:v>
                </c:pt>
                <c:pt idx="18">
                  <c:v>8.4239999999999995</c:v>
                </c:pt>
                <c:pt idx="19">
                  <c:v>8.2539999999999996</c:v>
                </c:pt>
                <c:pt idx="20">
                  <c:v>8.0839999999999996</c:v>
                </c:pt>
                <c:pt idx="21">
                  <c:v>8.23</c:v>
                </c:pt>
                <c:pt idx="22">
                  <c:v>8.6159999999999997</c:v>
                </c:pt>
                <c:pt idx="23">
                  <c:v>8.74</c:v>
                </c:pt>
                <c:pt idx="24">
                  <c:v>8.8279999999999994</c:v>
                </c:pt>
                <c:pt idx="25">
                  <c:v>8.8620000000000001</c:v>
                </c:pt>
                <c:pt idx="26">
                  <c:v>8.8559999999999999</c:v>
                </c:pt>
                <c:pt idx="27">
                  <c:v>8.4220000000000006</c:v>
                </c:pt>
                <c:pt idx="28">
                  <c:v>8.1340000000000003</c:v>
                </c:pt>
                <c:pt idx="29">
                  <c:v>8.0620000000000012</c:v>
                </c:pt>
                <c:pt idx="30">
                  <c:v>7.968</c:v>
                </c:pt>
                <c:pt idx="31">
                  <c:v>7.86</c:v>
                </c:pt>
                <c:pt idx="32">
                  <c:v>8.0879999999999992</c:v>
                </c:pt>
                <c:pt idx="33">
                  <c:v>8.1460000000000008</c:v>
                </c:pt>
                <c:pt idx="34">
                  <c:v>8.1720000000000006</c:v>
                </c:pt>
                <c:pt idx="35">
                  <c:v>8.26</c:v>
                </c:pt>
                <c:pt idx="36">
                  <c:v>8.1460000000000008</c:v>
                </c:pt>
                <c:pt idx="37">
                  <c:v>7.92</c:v>
                </c:pt>
                <c:pt idx="38">
                  <c:v>8.322000000000001</c:v>
                </c:pt>
                <c:pt idx="39">
                  <c:v>8.0939999999999994</c:v>
                </c:pt>
                <c:pt idx="40">
                  <c:v>7.86</c:v>
                </c:pt>
                <c:pt idx="41">
                  <c:v>7.7020000000000008</c:v>
                </c:pt>
                <c:pt idx="42">
                  <c:v>7.4220000000000006</c:v>
                </c:pt>
                <c:pt idx="43">
                  <c:v>7.0739999999999998</c:v>
                </c:pt>
                <c:pt idx="44">
                  <c:v>7.1620000000000008</c:v>
                </c:pt>
                <c:pt idx="45">
                  <c:v>7.1979999999999995</c:v>
                </c:pt>
                <c:pt idx="46">
                  <c:v>7.47</c:v>
                </c:pt>
                <c:pt idx="47">
                  <c:v>7.61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B0-4B9D-B1DD-BF48346D2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valAx>
        <c:axId val="667332303"/>
        <c:scaling>
          <c:orientation val="minMax"/>
          <c:min val="1778.52"/>
        </c:scaling>
        <c:delete val="0"/>
        <c:axPos val="b"/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'%Weight'!$B$1</c:f>
              <c:strCache>
                <c:ptCount val="1"/>
                <c:pt idx="0">
                  <c:v>Pre-Treatment Unit Weight (kN/m^3)</c:v>
                </c:pt>
              </c:strCache>
            </c:strRef>
          </c:tx>
          <c:spPr>
            <a:solidFill>
              <a:srgbClr val="DFDA00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'%Weight'!$A$2:$A$4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'%Weight'!$B$2:$B$4</c:f>
              <c:numCache>
                <c:formatCode>0.0000</c:formatCode>
                <c:ptCount val="3"/>
                <c:pt idx="0">
                  <c:v>24.541694644015976</c:v>
                </c:pt>
                <c:pt idx="1">
                  <c:v>21.582402947181521</c:v>
                </c:pt>
                <c:pt idx="2">
                  <c:v>27.958205888005434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98-427A-BD6F-6B57ECB89DF9}"/>
            </c:ext>
          </c:extLst>
        </c:ser>
        <c:ser>
          <c:idx val="1"/>
          <c:order val="1"/>
          <c:tx>
            <c:strRef>
              <c:f>'%Weight'!$C$1</c:f>
              <c:strCache>
                <c:ptCount val="1"/>
                <c:pt idx="0">
                  <c:v>Post-Treatment Unit Weight (kN/m^3)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'%Weight'!$A$2:$A$4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'%Weight'!$C$2:$C$4</c:f>
              <c:numCache>
                <c:formatCode>General</c:formatCode>
                <c:ptCount val="3"/>
                <c:pt idx="0">
                  <c:v>27.758417733015182</c:v>
                </c:pt>
                <c:pt idx="1">
                  <c:v>31.692159570861271</c:v>
                </c:pt>
                <c:pt idx="2">
                  <c:v>39.550458527309523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98-427A-BD6F-6B57ECB89D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100"/>
        <c:axId val="188965903"/>
        <c:axId val="1903343615"/>
      </c:barChart>
      <c:barChart>
        <c:barDir val="col"/>
        <c:grouping val="clustered"/>
        <c:varyColors val="0"/>
        <c:ser>
          <c:idx val="2"/>
          <c:order val="2"/>
          <c:tx>
            <c:strRef>
              <c:f>'%Weight'!$D$1</c:f>
              <c:strCache>
                <c:ptCount val="1"/>
                <c:pt idx="0">
                  <c:v>Unit Weight Change (%)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D98-427A-BD6F-6B57ECB89DF9}"/>
              </c:ext>
            </c:extLst>
          </c:dPt>
          <c:cat>
            <c:strRef>
              <c:f>'%Weight'!$A$2:$A$4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'%Weight'!$D$2:$D$4</c:f>
              <c:numCache>
                <c:formatCode>0.00</c:formatCode>
                <c:ptCount val="3"/>
                <c:pt idx="0">
                  <c:v>13.107175912905195</c:v>
                </c:pt>
                <c:pt idx="1">
                  <c:v>46.842590458631015</c:v>
                </c:pt>
                <c:pt idx="2">
                  <c:v>41.462791588774195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98-427A-BD6F-6B57ECB89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41803183"/>
        <c:axId val="1425064415"/>
      </c:barChart>
      <c:catAx>
        <c:axId val="188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1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3615"/>
        <c:crosses val="autoZero"/>
        <c:auto val="1"/>
        <c:lblAlgn val="ctr"/>
        <c:lblOffset val="100"/>
        <c:noMultiLvlLbl val="0"/>
      </c:catAx>
      <c:valAx>
        <c:axId val="1903343615"/>
        <c:scaling>
          <c:orientation val="minMax"/>
          <c:max val="4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903"/>
        <c:crosses val="autoZero"/>
        <c:crossBetween val="between"/>
      </c:valAx>
      <c:valAx>
        <c:axId val="14250644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03183"/>
        <c:crosses val="max"/>
        <c:crossBetween val="between"/>
      </c:valAx>
      <c:catAx>
        <c:axId val="154180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06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Analyses'!$E$2</c:f>
              <c:strCache>
                <c:ptCount val="1"/>
                <c:pt idx="0">
                  <c:v>Pre-Treatment UCS (MPa)</c:v>
                </c:pt>
              </c:strCache>
            </c:strRef>
          </c:tx>
          <c:spPr>
            <a:solidFill>
              <a:srgbClr val="0067B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Analyses'!$E$3:$E$5</c:f>
              <c:numCache>
                <c:formatCode>0.00</c:formatCode>
                <c:ptCount val="3"/>
                <c:pt idx="0">
                  <c:v>77.378003333333311</c:v>
                </c:pt>
                <c:pt idx="1">
                  <c:v>75.966222033898305</c:v>
                </c:pt>
                <c:pt idx="2">
                  <c:v>78.920306382978751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6-4D16-91B7-7F3CA82C05BC}"/>
            </c:ext>
          </c:extLst>
        </c:ser>
        <c:ser>
          <c:idx val="1"/>
          <c:order val="1"/>
          <c:tx>
            <c:strRef>
              <c:f>'Statistical Analyses'!$F$2</c:f>
              <c:strCache>
                <c:ptCount val="1"/>
                <c:pt idx="0">
                  <c:v>Post-Microbial Treatment UCS (MPa)</c:v>
                </c:pt>
              </c:strCache>
            </c:strRef>
          </c:tx>
          <c:spPr>
            <a:solidFill>
              <a:srgbClr val="6DEF67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Analyses'!$F$3:$F$5</c:f>
              <c:numCache>
                <c:formatCode>0.00</c:formatCode>
                <c:ptCount val="3"/>
                <c:pt idx="0">
                  <c:v>157.63703333333328</c:v>
                </c:pt>
                <c:pt idx="1">
                  <c:v>97.028567796610162</c:v>
                </c:pt>
                <c:pt idx="2">
                  <c:v>165.19789361702126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6-4D16-91B7-7F3CA82C05B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100"/>
        <c:axId val="188965903"/>
        <c:axId val="1903343615"/>
      </c:barChart>
      <c:barChart>
        <c:barDir val="col"/>
        <c:grouping val="clustered"/>
        <c:varyColors val="0"/>
        <c:ser>
          <c:idx val="2"/>
          <c:order val="2"/>
          <c:tx>
            <c:strRef>
              <c:f>'Statistical Analyses'!$G$2</c:f>
              <c:strCache>
                <c:ptCount val="1"/>
                <c:pt idx="0">
                  <c:v>UCS Change (%)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E96359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96-4D16-91B7-7F3CA82C05BC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Analyses'!$D$3:$D$5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Analyses'!$G$3:$G$5</c:f>
              <c:numCache>
                <c:formatCode>0.00</c:formatCode>
                <c:ptCount val="3"/>
                <c:pt idx="0">
                  <c:v>103.72331482146883</c:v>
                </c:pt>
                <c:pt idx="1">
                  <c:v>27.725935552400166</c:v>
                </c:pt>
                <c:pt idx="2">
                  <c:v>109.32241800400632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396-4D16-91B7-7F3CA82C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41803183"/>
        <c:axId val="1425064415"/>
      </c:barChart>
      <c:catAx>
        <c:axId val="188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3615"/>
        <c:crosses val="autoZero"/>
        <c:auto val="1"/>
        <c:lblAlgn val="ctr"/>
        <c:lblOffset val="100"/>
        <c:noMultiLvlLbl val="0"/>
      </c:catAx>
      <c:valAx>
        <c:axId val="1903343615"/>
        <c:scaling>
          <c:orientation val="minMax"/>
          <c:max val="18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903"/>
        <c:crosses val="autoZero"/>
        <c:crossBetween val="between"/>
      </c:valAx>
      <c:valAx>
        <c:axId val="1425064415"/>
        <c:scaling>
          <c:orientation val="minMax"/>
          <c:max val="120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03183"/>
        <c:crosses val="max"/>
        <c:crossBetween val="between"/>
      </c:valAx>
      <c:catAx>
        <c:axId val="154180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06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Analyses'!$L$2</c:f>
              <c:strCache>
                <c:ptCount val="1"/>
                <c:pt idx="0">
                  <c:v>Pre-Treatment ν  (-)</c:v>
                </c:pt>
              </c:strCache>
            </c:strRef>
          </c:tx>
          <c:spPr>
            <a:solidFill>
              <a:srgbClr val="0067B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Analyses'!$K$3:$K$5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Analyses'!$L$3:$L$5</c:f>
              <c:numCache>
                <c:formatCode>0.00</c:formatCode>
                <c:ptCount val="3"/>
                <c:pt idx="0">
                  <c:v>0.32177100000000003</c:v>
                </c:pt>
                <c:pt idx="1">
                  <c:v>0.32480699999999996</c:v>
                </c:pt>
                <c:pt idx="2">
                  <c:v>0.30371000000000004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4-474C-B918-9F5ADB628219}"/>
            </c:ext>
          </c:extLst>
        </c:ser>
        <c:ser>
          <c:idx val="1"/>
          <c:order val="1"/>
          <c:tx>
            <c:strRef>
              <c:f>'Statistical Analyses'!$M$2</c:f>
              <c:strCache>
                <c:ptCount val="1"/>
                <c:pt idx="0">
                  <c:v>Post-Microbial Treatment  ν  (-)</c:v>
                </c:pt>
              </c:strCache>
            </c:strRef>
          </c:tx>
          <c:spPr>
            <a:solidFill>
              <a:srgbClr val="6DEF67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Analyses'!$K$3:$K$5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Analyses'!$M$3:$M$5</c:f>
              <c:numCache>
                <c:formatCode>0.00</c:formatCode>
                <c:ptCount val="3"/>
                <c:pt idx="0">
                  <c:v>0.19841549999999999</c:v>
                </c:pt>
                <c:pt idx="1">
                  <c:v>0.2338865</c:v>
                </c:pt>
                <c:pt idx="2">
                  <c:v>0.16889500000000002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4-474C-B918-9F5ADB62821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100"/>
        <c:axId val="188965903"/>
        <c:axId val="1903343615"/>
      </c:barChart>
      <c:barChart>
        <c:barDir val="col"/>
        <c:grouping val="clustered"/>
        <c:varyColors val="0"/>
        <c:ser>
          <c:idx val="2"/>
          <c:order val="2"/>
          <c:tx>
            <c:strRef>
              <c:f>'Statistical Analyses'!$N$2</c:f>
              <c:strCache>
                <c:ptCount val="1"/>
                <c:pt idx="0">
                  <c:v> ν Change (%)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E96359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E54-474C-B918-9F5ADB628219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Analyses'!$K$3:$K$5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Analyses'!$N$3:$N$5</c:f>
              <c:numCache>
                <c:formatCode>0.00</c:formatCode>
                <c:ptCount val="3"/>
                <c:pt idx="0">
                  <c:v>-38.336425594599895</c:v>
                </c:pt>
                <c:pt idx="1">
                  <c:v>-27.992161498982465</c:v>
                </c:pt>
                <c:pt idx="2">
                  <c:v>-44.389384610319055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54-474C-B918-9F5ADB628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41803183"/>
        <c:axId val="1425064415"/>
      </c:barChart>
      <c:catAx>
        <c:axId val="188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3615"/>
        <c:crosses val="autoZero"/>
        <c:auto val="1"/>
        <c:lblAlgn val="ctr"/>
        <c:lblOffset val="100"/>
        <c:noMultiLvlLbl val="0"/>
      </c:catAx>
      <c:valAx>
        <c:axId val="1903343615"/>
        <c:scaling>
          <c:orientation val="minMax"/>
          <c:max val="0.35000000000000003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903"/>
        <c:crosses val="autoZero"/>
        <c:crossBetween val="between"/>
      </c:valAx>
      <c:valAx>
        <c:axId val="1425064415"/>
        <c:scaling>
          <c:orientation val="maxMin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03183"/>
        <c:crosses val="max"/>
        <c:crossBetween val="between"/>
      </c:valAx>
      <c:catAx>
        <c:axId val="1541803183"/>
        <c:scaling>
          <c:orientation val="minMax"/>
        </c:scaling>
        <c:delete val="1"/>
        <c:axPos val="t"/>
        <c:numFmt formatCode="General" sourceLinked="1"/>
        <c:majorTickMark val="out"/>
        <c:minorTickMark val="none"/>
        <c:tickLblPos val="nextTo"/>
        <c:crossAx val="142506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Analyses'!$V$2</c:f>
              <c:strCache>
                <c:ptCount val="1"/>
                <c:pt idx="0">
                  <c:v>Pre-Treatment Escr (GPa)</c:v>
                </c:pt>
              </c:strCache>
            </c:strRef>
          </c:tx>
          <c:spPr>
            <a:solidFill>
              <a:srgbClr val="0067B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Analyses'!$U$3:$U$5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Analyses'!$V$3:$V$5</c:f>
              <c:numCache>
                <c:formatCode>0.00</c:formatCode>
                <c:ptCount val="3"/>
                <c:pt idx="0">
                  <c:v>14.582446781232219</c:v>
                </c:pt>
                <c:pt idx="1">
                  <c:v>16.894921232890191</c:v>
                </c:pt>
                <c:pt idx="2">
                  <c:v>16.637979726034043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C7-4757-810F-B9234D93513C}"/>
            </c:ext>
          </c:extLst>
        </c:ser>
        <c:ser>
          <c:idx val="1"/>
          <c:order val="1"/>
          <c:tx>
            <c:strRef>
              <c:f>'Statistical Analyses'!$W$2</c:f>
              <c:strCache>
                <c:ptCount val="1"/>
                <c:pt idx="0">
                  <c:v>Post-Microbial Treatment Escr (GPa)</c:v>
                </c:pt>
              </c:strCache>
            </c:strRef>
          </c:tx>
          <c:spPr>
            <a:solidFill>
              <a:srgbClr val="6DEF67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Analyses'!$U$3:$U$5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Analyses'!$W$3:$W$5</c:f>
              <c:numCache>
                <c:formatCode>0.00</c:formatCode>
                <c:ptCount val="3"/>
                <c:pt idx="0">
                  <c:v>59.730408116605332</c:v>
                </c:pt>
                <c:pt idx="1">
                  <c:v>51.904241612234614</c:v>
                </c:pt>
                <c:pt idx="2">
                  <c:v>90.108568615707071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C7-4757-810F-B9234D9351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100"/>
        <c:axId val="188965903"/>
        <c:axId val="1903343615"/>
      </c:barChart>
      <c:barChart>
        <c:barDir val="col"/>
        <c:grouping val="clustered"/>
        <c:varyColors val="0"/>
        <c:ser>
          <c:idx val="2"/>
          <c:order val="2"/>
          <c:tx>
            <c:strRef>
              <c:f>'Statistical Analyses'!$X$2</c:f>
              <c:strCache>
                <c:ptCount val="1"/>
                <c:pt idx="0">
                  <c:v>Escr Change (%)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E96359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9C7-4757-810F-B9234D93513C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Analyses'!$U$3:$U$5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Analyses'!$X$3:$X$5</c:f>
              <c:numCache>
                <c:formatCode>0.00</c:formatCode>
                <c:ptCount val="3"/>
                <c:pt idx="0">
                  <c:v>309.60484212758502</c:v>
                </c:pt>
                <c:pt idx="1">
                  <c:v>207.21801479127362</c:v>
                </c:pt>
                <c:pt idx="2">
                  <c:v>441.58359427924393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C7-4757-810F-B9234D93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41803183"/>
        <c:axId val="1425064415"/>
      </c:barChart>
      <c:catAx>
        <c:axId val="188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3615"/>
        <c:crosses val="autoZero"/>
        <c:auto val="1"/>
        <c:lblAlgn val="ctr"/>
        <c:lblOffset val="100"/>
        <c:noMultiLvlLbl val="0"/>
      </c:catAx>
      <c:valAx>
        <c:axId val="1903343615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903"/>
        <c:crosses val="autoZero"/>
        <c:crossBetween val="between"/>
      </c:valAx>
      <c:valAx>
        <c:axId val="14250644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03183"/>
        <c:crosses val="max"/>
        <c:crossBetween val="between"/>
      </c:valAx>
      <c:catAx>
        <c:axId val="154180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06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'Statistical Analyses'!$AD$2</c:f>
              <c:strCache>
                <c:ptCount val="1"/>
                <c:pt idx="0">
                  <c:v>Pre-Treatment Ks (MPa·√m)</c:v>
                </c:pt>
              </c:strCache>
            </c:strRef>
          </c:tx>
          <c:spPr>
            <a:solidFill>
              <a:srgbClr val="0067B4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Analyses'!$AC$3:$AC$5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Analyses'!$AD$3:$AD$5</c:f>
              <c:numCache>
                <c:formatCode>0.00</c:formatCode>
                <c:ptCount val="3"/>
                <c:pt idx="0">
                  <c:v>2.7791111111111113</c:v>
                </c:pt>
                <c:pt idx="1">
                  <c:v>2.2152655737704916</c:v>
                </c:pt>
                <c:pt idx="2">
                  <c:v>2.8295833333333338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3-4708-90D1-4D871265BE23}"/>
            </c:ext>
          </c:extLst>
        </c:ser>
        <c:ser>
          <c:idx val="1"/>
          <c:order val="1"/>
          <c:tx>
            <c:strRef>
              <c:f>'Statistical Analyses'!$AE$2</c:f>
              <c:strCache>
                <c:ptCount val="1"/>
                <c:pt idx="0">
                  <c:v>Post-Microbial Treatment Ks (MPa·√m)</c:v>
                </c:pt>
              </c:strCache>
            </c:strRef>
          </c:tx>
          <c:spPr>
            <a:solidFill>
              <a:srgbClr val="6DEF67"/>
            </a:solidFill>
            <a:ln>
              <a:noFill/>
            </a:ln>
            <a:effectLst/>
          </c:spPr>
          <c:invertIfNegative val="0"/>
          <c:dLbls>
            <c:delete val="1"/>
          </c:dLbls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Analyses'!$AC$3:$AC$5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Analyses'!$AE$3:$AE$5</c:f>
              <c:numCache>
                <c:formatCode>0.00</c:formatCode>
                <c:ptCount val="3"/>
                <c:pt idx="0">
                  <c:v>8.6038253968253944</c:v>
                </c:pt>
                <c:pt idx="1">
                  <c:v>8.1719344262295106</c:v>
                </c:pt>
                <c:pt idx="2">
                  <c:v>8.2030416666666692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3-4708-90D1-4D871265BE2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80"/>
        <c:overlap val="-100"/>
        <c:axId val="188965903"/>
        <c:axId val="1903343615"/>
      </c:barChart>
      <c:barChart>
        <c:barDir val="col"/>
        <c:grouping val="clustered"/>
        <c:varyColors val="0"/>
        <c:ser>
          <c:idx val="2"/>
          <c:order val="2"/>
          <c:tx>
            <c:strRef>
              <c:f>'Statistical Analyses'!$AF$2</c:f>
              <c:strCache>
                <c:ptCount val="1"/>
                <c:pt idx="0">
                  <c:v>Ks Change (%)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rgbClr val="E96359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3-4708-90D1-4D871265BE23}"/>
              </c:ext>
            </c:extLst>
          </c:dPt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'Statistical Analyses'!$AC$3:$AC$5</c:f>
              <c:strCache>
                <c:ptCount val="3"/>
                <c:pt idx="0">
                  <c:v>C1</c:v>
                </c:pt>
                <c:pt idx="1">
                  <c:v>C2</c:v>
                </c:pt>
                <c:pt idx="2">
                  <c:v>C3</c:v>
                </c:pt>
              </c:strCache>
            </c:strRef>
          </c:cat>
          <c:val>
            <c:numRef>
              <c:f>'Statistical Analyses'!$AF$3:$AF$5</c:f>
              <c:numCache>
                <c:formatCode>0.00</c:formatCode>
                <c:ptCount val="3"/>
                <c:pt idx="0">
                  <c:v>209.58911151218831</c:v>
                </c:pt>
                <c:pt idx="1">
                  <c:v>268.89186213102539</c:v>
                </c:pt>
                <c:pt idx="2">
                  <c:v>189.90281254601683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73-4708-90D1-4D871265BE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overlap val="-100"/>
        <c:axId val="1541803183"/>
        <c:axId val="1425064415"/>
      </c:barChart>
      <c:catAx>
        <c:axId val="188965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343615"/>
        <c:crosses val="autoZero"/>
        <c:auto val="1"/>
        <c:lblAlgn val="ctr"/>
        <c:lblOffset val="100"/>
        <c:noMultiLvlLbl val="0"/>
      </c:catAx>
      <c:valAx>
        <c:axId val="1903343615"/>
        <c:scaling>
          <c:orientation val="minMax"/>
        </c:scaling>
        <c:delete val="0"/>
        <c:axPos val="l"/>
        <c:numFmt formatCode="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965903"/>
        <c:crosses val="autoZero"/>
        <c:crossBetween val="between"/>
      </c:valAx>
      <c:valAx>
        <c:axId val="1425064415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803183"/>
        <c:crosses val="max"/>
        <c:crossBetween val="between"/>
      </c:valAx>
      <c:catAx>
        <c:axId val="15418031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250644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strRef>
              <c:f>'v-Modulus'!$N$2</c:f>
              <c:strCache>
                <c:ptCount val="1"/>
                <c:pt idx="0">
                  <c:v>Pre-Treatment ν C2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Pre-Treatment ν C2</c:nam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'v-Modulus'!$K$3:$K$4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'v-Modulus'!$N$3:$N$4</c:f>
              <c:numCache>
                <c:formatCode>General</c:formatCode>
                <c:ptCount val="2"/>
                <c:pt idx="0">
                  <c:v>0.31772899999999998</c:v>
                </c:pt>
                <c:pt idx="1">
                  <c:v>0.33188499999999999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E0B-4284-AD89-20BECEBD4400}"/>
            </c:ext>
          </c:extLst>
        </c:ser>
        <c:ser>
          <c:idx val="0"/>
          <c:order val="1"/>
          <c:tx>
            <c:strRef>
              <c:f>'v-Modulus'!$S$2</c:f>
              <c:strCache>
                <c:ptCount val="1"/>
                <c:pt idx="0">
                  <c:v>Post-Treatment ν C2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75000"/>
                  <a:alpha val="95000"/>
                </a:schemeClr>
              </a:solidFill>
              <a:ln w="9525">
                <a:noFill/>
              </a:ln>
              <a:effectLst/>
            </c:spPr>
          </c:marker>
          <c:trendline>
            <c:name>Post-Treatment ν C2</c:nam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'v-Modulus'!$P$3:$P$4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'v-Modulus'!$S$3:$S$4</c:f>
              <c:numCache>
                <c:formatCode>General</c:formatCode>
                <c:ptCount val="2"/>
                <c:pt idx="0">
                  <c:v>0.23111100000000001</c:v>
                </c:pt>
                <c:pt idx="1">
                  <c:v>0.23666200000000001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0B-4284-AD89-20BECEBD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3919"/>
        <c:axId val="883760511"/>
      </c:scatterChart>
      <c:scatterChart>
        <c:scatterStyle val="lineMarker"/>
        <c:varyColors val="0"/>
        <c:ser>
          <c:idx val="1"/>
          <c:order val="2"/>
          <c:tx>
            <c:strRef>
              <c:f>'v-Modulus'!$O$2</c:f>
              <c:strCache>
                <c:ptCount val="1"/>
                <c:pt idx="0">
                  <c:v>Pre-Treatment Escr C2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name>Pre-Treatment Escr C2</c:name>
            <c:spPr>
              <a:ln w="254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'v-Modulus'!$K$3:$K$4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'v-Modulus'!$O$3:$O$4</c:f>
              <c:numCache>
                <c:formatCode>0.00</c:formatCode>
                <c:ptCount val="2"/>
                <c:pt idx="0">
                  <c:v>18.531909509343816</c:v>
                </c:pt>
                <c:pt idx="1">
                  <c:v>15.257932956436568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E0B-4284-AD89-20BECEBD4400}"/>
            </c:ext>
          </c:extLst>
        </c:ser>
        <c:ser>
          <c:idx val="3"/>
          <c:order val="3"/>
          <c:tx>
            <c:strRef>
              <c:f>'v-Modulus'!$T$2</c:f>
              <c:strCache>
                <c:ptCount val="1"/>
                <c:pt idx="0">
                  <c:v>Post-Treatment Escr C2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name>Post-Treatment Escr C2</c:nam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'v-Modulus'!$P$3:$P$4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'v-Modulus'!$T$3:$T$4</c:f>
              <c:numCache>
                <c:formatCode>0.00</c:formatCode>
                <c:ptCount val="2"/>
                <c:pt idx="0">
                  <c:v>54.111375342627873</c:v>
                </c:pt>
                <c:pt idx="1">
                  <c:v>49.697107881841362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E0B-4284-AD89-20BECEBD44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3487"/>
        <c:axId val="201670527"/>
      </c:scatterChart>
      <c:valAx>
        <c:axId val="734703919"/>
        <c:scaling>
          <c:orientation val="minMax"/>
          <c:min val="1778.5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60511"/>
        <c:crosses val="autoZero"/>
        <c:crossBetween val="midCat"/>
      </c:valAx>
      <c:valAx>
        <c:axId val="883760511"/>
        <c:scaling>
          <c:orientation val="minMax"/>
          <c:min val="0.15000000000000002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3919"/>
        <c:crosses val="autoZero"/>
        <c:crossBetween val="midCat"/>
      </c:valAx>
      <c:valAx>
        <c:axId val="201670527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rgbClr val="7030A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487"/>
        <c:crosses val="max"/>
        <c:crossBetween val="midCat"/>
      </c:valAx>
      <c:valAx>
        <c:axId val="20164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7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18621726309357978"/>
          <c:y val="1.0419298519538401E-2"/>
          <c:w val="0.61047959496093762"/>
          <c:h val="6.61114817390810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8497735893171734E-2"/>
          <c:y val="7.4453526401808148E-2"/>
          <c:w val="0.81812609936391467"/>
          <c:h val="0.85358445413277029"/>
        </c:manualLayout>
      </c:layout>
      <c:scatterChart>
        <c:scatterStyle val="lineMarker"/>
        <c:varyColors val="0"/>
        <c:ser>
          <c:idx val="2"/>
          <c:order val="0"/>
          <c:tx>
            <c:strRef>
              <c:f>'v-Modulus'!$X$2</c:f>
              <c:strCache>
                <c:ptCount val="1"/>
                <c:pt idx="0">
                  <c:v>Pre-Treatment ν C3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75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19050" cap="rnd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trendline>
            <c:name>Pre-Treatment ν C3</c:nam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'v-Modulus'!$U$3:$U$4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'v-Modulus'!$X$3:$X$4</c:f>
              <c:numCache>
                <c:formatCode>General</c:formatCode>
                <c:ptCount val="2"/>
                <c:pt idx="0">
                  <c:v>0.305178</c:v>
                </c:pt>
                <c:pt idx="1">
                  <c:v>0.30224200000000001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28-4ABD-AE7E-7777D4E6C8D4}"/>
            </c:ext>
          </c:extLst>
        </c:ser>
        <c:ser>
          <c:idx val="0"/>
          <c:order val="1"/>
          <c:tx>
            <c:strRef>
              <c:f>'v-Modulus'!$AC$2</c:f>
              <c:strCache>
                <c:ptCount val="1"/>
                <c:pt idx="0">
                  <c:v>Post-Treatment ν C3</c:v>
                </c:pt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chemeClr val="accent2">
                  <a:lumMod val="75000"/>
                  <a:alpha val="95000"/>
                </a:schemeClr>
              </a:solidFill>
              <a:ln w="9525">
                <a:noFill/>
              </a:ln>
              <a:effectLst/>
            </c:spPr>
          </c:marker>
          <c:trendline>
            <c:name>Post-Treatment ν C3</c:name>
            <c:spPr>
              <a:ln w="25400" cap="rnd">
                <a:solidFill>
                  <a:schemeClr val="accent2">
                    <a:lumMod val="75000"/>
                  </a:schemeClr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'v-Modulus'!$Z$3:$Z$4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'v-Modulus'!$AC$3:$AC$4</c:f>
              <c:numCache>
                <c:formatCode>General</c:formatCode>
                <c:ptCount val="2"/>
                <c:pt idx="0">
                  <c:v>0.15776000000000001</c:v>
                </c:pt>
                <c:pt idx="1">
                  <c:v>0.18003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928-4ABD-AE7E-7777D4E6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4703919"/>
        <c:axId val="883760511"/>
      </c:scatterChart>
      <c:scatterChart>
        <c:scatterStyle val="lineMarker"/>
        <c:varyColors val="0"/>
        <c:ser>
          <c:idx val="1"/>
          <c:order val="2"/>
          <c:tx>
            <c:strRef>
              <c:f>'v-Modulus'!$Y$2</c:f>
              <c:strCache>
                <c:ptCount val="1"/>
                <c:pt idx="0">
                  <c:v>Pre-Treatment Escr C3</c:v>
                </c:pt>
              </c:strCache>
            </c:strRef>
          </c:tx>
          <c:spPr>
            <a:ln w="19050" cap="rnd">
              <a:noFill/>
              <a:prstDash val="dash"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name>Pre-Treatment Escr C3</c:name>
            <c:spPr>
              <a:ln w="25400" cap="rnd">
                <a:solidFill>
                  <a:srgbClr val="7030A0"/>
                </a:solidFill>
                <a:prstDash val="dash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'v-Modulus'!$U$3:$U$4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'v-Modulus'!$Y$3:$Y$4</c:f>
              <c:numCache>
                <c:formatCode>0.00</c:formatCode>
                <c:ptCount val="2"/>
                <c:pt idx="0">
                  <c:v>14.337061535871912</c:v>
                </c:pt>
                <c:pt idx="1">
                  <c:v>18.938897916196172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928-4ABD-AE7E-7777D4E6C8D4}"/>
            </c:ext>
          </c:extLst>
        </c:ser>
        <c:ser>
          <c:idx val="3"/>
          <c:order val="3"/>
          <c:tx>
            <c:strRef>
              <c:f>'v-Modulus'!$AD$2</c:f>
              <c:strCache>
                <c:ptCount val="1"/>
                <c:pt idx="0">
                  <c:v>Post-Treatment Escr C3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diamond"/>
            <c:size val="11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trendline>
            <c:name>Post-Treatment Escr C3</c:name>
            <c:spPr>
              <a:ln w="25400" cap="rnd">
                <a:solidFill>
                  <a:srgbClr val="7030A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'v-Modulus'!$Z$3:$Z$4</c:f>
              <c:numCache>
                <c:formatCode>General</c:formatCode>
                <c:ptCount val="2"/>
                <c:pt idx="0">
                  <c:v>1778.54</c:v>
                </c:pt>
                <c:pt idx="1">
                  <c:v>1778.58</c:v>
                </c:pt>
              </c:numCache>
            </c:numRef>
          </c:xVal>
          <c:yVal>
            <c:numRef>
              <c:f>'v-Modulus'!$AD$3:$AD$4</c:f>
              <c:numCache>
                <c:formatCode>0.00</c:formatCode>
                <c:ptCount val="2"/>
                <c:pt idx="0">
                  <c:v>96.767602165539188</c:v>
                </c:pt>
                <c:pt idx="1">
                  <c:v>83.44953506587494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928-4ABD-AE7E-7777D4E6C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43487"/>
        <c:axId val="201670527"/>
      </c:scatterChart>
      <c:valAx>
        <c:axId val="734703919"/>
        <c:scaling>
          <c:orientation val="minMax"/>
          <c:min val="1778.53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760511"/>
        <c:crosses val="autoZero"/>
        <c:crossBetween val="midCat"/>
      </c:valAx>
      <c:valAx>
        <c:axId val="883760511"/>
        <c:scaling>
          <c:orientation val="minMax"/>
          <c:min val="0.15000000000000002"/>
        </c:scaling>
        <c:delete val="0"/>
        <c:axPos val="l"/>
        <c:numFmt formatCode="0.00" sourceLinked="0"/>
        <c:majorTickMark val="out"/>
        <c:minorTickMark val="none"/>
        <c:tickLblPos val="nextTo"/>
        <c:spPr>
          <a:noFill/>
          <a:ln w="15875" cap="flat" cmpd="sng" algn="ctr">
            <a:solidFill>
              <a:schemeClr val="accent2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accent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03919"/>
        <c:crosses val="autoZero"/>
        <c:crossBetween val="midCat"/>
      </c:valAx>
      <c:valAx>
        <c:axId val="201670527"/>
        <c:scaling>
          <c:orientation val="minMax"/>
          <c:max val="100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 w="15875" cap="flat" cmpd="sng" algn="ctr">
            <a:solidFill>
              <a:srgbClr val="7030A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rgbClr val="7030A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43487"/>
        <c:crosses val="max"/>
        <c:crossBetween val="midCat"/>
      </c:valAx>
      <c:valAx>
        <c:axId val="2016434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67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190695396245389"/>
          <c:y val="1.0551450100481214E-2"/>
          <c:w val="0.59450584192663292"/>
          <c:h val="5.8900671076541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1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'v-Modulus'!$AT$2</c:f>
              <c:strCache>
                <c:ptCount val="1"/>
              </c:strCache>
            </c:strRef>
          </c:tx>
          <c:spPr>
            <a:ln w="25400" cap="rnd">
              <a:noFill/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'v-Modulus'!$AR$3:$AR$6</c:f>
              <c:numCache>
                <c:formatCode>General</c:formatCode>
                <c:ptCount val="4"/>
              </c:numCache>
            </c:numRef>
          </c:xVal>
          <c:yVal>
            <c:numRef>
              <c:f>'v-Modulus'!$AT$3:$AT$6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45-428E-9F67-252BF6441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in val="6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UCS</a:t>
                </a:r>
                <a:r>
                  <a:rPr lang="en-US" sz="1200" b="1" baseline="0">
                    <a:solidFill>
                      <a:sysClr val="windowText" lastClr="000000"/>
                    </a:solidFill>
                  </a:rPr>
                  <a:t> (MPa)</a:t>
                </a:r>
                <a:endParaRPr 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  <c:majorUnit val="2"/>
      </c:valAx>
      <c:valAx>
        <c:axId val="881270671"/>
        <c:scaling>
          <c:orientation val="minMax"/>
          <c:min val="1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solidFill>
                      <a:sysClr val="windowText" lastClr="000000"/>
                    </a:solidFill>
                  </a:rPr>
                  <a:t>Escr [GPa]</a:t>
                </a:r>
              </a:p>
            </c:rich>
          </c:tx>
          <c:layout>
            <c:manualLayout>
              <c:xMode val="edge"/>
              <c:yMode val="edge"/>
              <c:x val="1.6201668389127503E-2"/>
              <c:y val="0.4420522968283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alpha val="98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UCS!$A$1:$B$1</c:f>
              <c:strCache>
                <c:ptCount val="1"/>
                <c:pt idx="0">
                  <c:v>Pre-Treatment - C1</c:v>
                </c:pt>
              </c:strCache>
            </c:strRef>
          </c:tx>
          <c:spPr>
            <a:ln w="25400" cap="rnd">
              <a:solidFill>
                <a:srgbClr val="0067B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UCS!$A$3:$A$67</c:f>
              <c:numCache>
                <c:formatCode>General</c:formatCode>
                <c:ptCount val="65"/>
                <c:pt idx="0">
                  <c:v>1778.5212999999999</c:v>
                </c:pt>
                <c:pt idx="1">
                  <c:v>1778.5233000000001</c:v>
                </c:pt>
                <c:pt idx="2">
                  <c:v>1778.5253</c:v>
                </c:pt>
                <c:pt idx="3">
                  <c:v>1778.5273</c:v>
                </c:pt>
                <c:pt idx="4">
                  <c:v>1778.5292999999999</c:v>
                </c:pt>
                <c:pt idx="5">
                  <c:v>1778.5313000000001</c:v>
                </c:pt>
                <c:pt idx="6">
                  <c:v>1778.5333000000001</c:v>
                </c:pt>
                <c:pt idx="7">
                  <c:v>1778.5353</c:v>
                </c:pt>
                <c:pt idx="8">
                  <c:v>1778.5373</c:v>
                </c:pt>
                <c:pt idx="9">
                  <c:v>1778.5392999999999</c:v>
                </c:pt>
                <c:pt idx="10">
                  <c:v>1778.5413000000001</c:v>
                </c:pt>
                <c:pt idx="11">
                  <c:v>1778.5433</c:v>
                </c:pt>
                <c:pt idx="12">
                  <c:v>1778.5453</c:v>
                </c:pt>
                <c:pt idx="13">
                  <c:v>1778.5473</c:v>
                </c:pt>
                <c:pt idx="14">
                  <c:v>1778.5492999999999</c:v>
                </c:pt>
                <c:pt idx="15">
                  <c:v>1778.5513000000001</c:v>
                </c:pt>
                <c:pt idx="16">
                  <c:v>1778.5533</c:v>
                </c:pt>
                <c:pt idx="17">
                  <c:v>1778.5553</c:v>
                </c:pt>
                <c:pt idx="18">
                  <c:v>1778.5572999999999</c:v>
                </c:pt>
                <c:pt idx="19">
                  <c:v>1778.5592999999999</c:v>
                </c:pt>
                <c:pt idx="20">
                  <c:v>1778.5613000000001</c:v>
                </c:pt>
                <c:pt idx="21">
                  <c:v>1778.5633</c:v>
                </c:pt>
                <c:pt idx="22">
                  <c:v>1778.5653</c:v>
                </c:pt>
                <c:pt idx="23">
                  <c:v>1778.5672999999999</c:v>
                </c:pt>
                <c:pt idx="24">
                  <c:v>1778.5692999999999</c:v>
                </c:pt>
                <c:pt idx="25">
                  <c:v>1778.5713000000001</c:v>
                </c:pt>
                <c:pt idx="26">
                  <c:v>1778.5733</c:v>
                </c:pt>
                <c:pt idx="27">
                  <c:v>1778.5753</c:v>
                </c:pt>
                <c:pt idx="28">
                  <c:v>1778.5772999999999</c:v>
                </c:pt>
                <c:pt idx="29">
                  <c:v>1778.5793000000001</c:v>
                </c:pt>
                <c:pt idx="30">
                  <c:v>1778.5813000000001</c:v>
                </c:pt>
                <c:pt idx="31">
                  <c:v>1778.5833</c:v>
                </c:pt>
                <c:pt idx="32">
                  <c:v>1778.5853</c:v>
                </c:pt>
                <c:pt idx="33">
                  <c:v>1778.5872999999999</c:v>
                </c:pt>
                <c:pt idx="34">
                  <c:v>1778.5893000000001</c:v>
                </c:pt>
                <c:pt idx="35">
                  <c:v>1778.5913</c:v>
                </c:pt>
                <c:pt idx="36">
                  <c:v>1778.5933</c:v>
                </c:pt>
                <c:pt idx="37">
                  <c:v>1778.5953</c:v>
                </c:pt>
                <c:pt idx="38">
                  <c:v>1778.5972999999999</c:v>
                </c:pt>
                <c:pt idx="39">
                  <c:v>1778.5993000000001</c:v>
                </c:pt>
                <c:pt idx="40">
                  <c:v>1778.6013</c:v>
                </c:pt>
                <c:pt idx="41">
                  <c:v>1778.6033</c:v>
                </c:pt>
                <c:pt idx="42">
                  <c:v>1778.6052999999999</c:v>
                </c:pt>
                <c:pt idx="43">
                  <c:v>1778.6072999999999</c:v>
                </c:pt>
                <c:pt idx="44">
                  <c:v>1778.6093000000001</c:v>
                </c:pt>
                <c:pt idx="45">
                  <c:v>1778.6113</c:v>
                </c:pt>
                <c:pt idx="46">
                  <c:v>1778.6133</c:v>
                </c:pt>
                <c:pt idx="47">
                  <c:v>1778.6152999999999</c:v>
                </c:pt>
                <c:pt idx="48">
                  <c:v>1778.6172999999999</c:v>
                </c:pt>
                <c:pt idx="49">
                  <c:v>1778.6193000000001</c:v>
                </c:pt>
                <c:pt idx="50">
                  <c:v>1778.6213</c:v>
                </c:pt>
                <c:pt idx="51">
                  <c:v>1778.6233</c:v>
                </c:pt>
                <c:pt idx="52">
                  <c:v>1778.6252999999999</c:v>
                </c:pt>
                <c:pt idx="53">
                  <c:v>1778.6272999999999</c:v>
                </c:pt>
                <c:pt idx="54">
                  <c:v>1778.6293000000001</c:v>
                </c:pt>
                <c:pt idx="55">
                  <c:v>1778.6313</c:v>
                </c:pt>
                <c:pt idx="56">
                  <c:v>1778.6333</c:v>
                </c:pt>
                <c:pt idx="57">
                  <c:v>1778.6352999999999</c:v>
                </c:pt>
                <c:pt idx="58">
                  <c:v>1778.6373000000001</c:v>
                </c:pt>
                <c:pt idx="59">
                  <c:v>1778.6393</c:v>
                </c:pt>
              </c:numCache>
            </c:numRef>
          </c:xVal>
          <c:yVal>
            <c:numRef>
              <c:f>UCS!$B$3:$B$67</c:f>
              <c:numCache>
                <c:formatCode>General</c:formatCode>
                <c:ptCount val="65"/>
                <c:pt idx="0">
                  <c:v>74.736599999999996</c:v>
                </c:pt>
                <c:pt idx="1">
                  <c:v>68.710700000000003</c:v>
                </c:pt>
                <c:pt idx="2">
                  <c:v>73.349900000000005</c:v>
                </c:pt>
                <c:pt idx="3">
                  <c:v>77.208299999999994</c:v>
                </c:pt>
                <c:pt idx="4">
                  <c:v>80.848799999999997</c:v>
                </c:pt>
                <c:pt idx="5">
                  <c:v>94.187899999999999</c:v>
                </c:pt>
                <c:pt idx="6">
                  <c:v>101.762</c:v>
                </c:pt>
                <c:pt idx="7">
                  <c:v>94.466999999999999</c:v>
                </c:pt>
                <c:pt idx="8">
                  <c:v>75.555300000000003</c:v>
                </c:pt>
                <c:pt idx="9">
                  <c:v>71.816500000000005</c:v>
                </c:pt>
                <c:pt idx="10">
                  <c:v>66.632499999999993</c:v>
                </c:pt>
                <c:pt idx="11">
                  <c:v>59.647599999999997</c:v>
                </c:pt>
                <c:pt idx="12">
                  <c:v>73.034700000000001</c:v>
                </c:pt>
                <c:pt idx="13">
                  <c:v>88.783600000000007</c:v>
                </c:pt>
                <c:pt idx="14">
                  <c:v>86.958500000000001</c:v>
                </c:pt>
                <c:pt idx="15">
                  <c:v>86.875900000000001</c:v>
                </c:pt>
                <c:pt idx="16">
                  <c:v>78.211299999999994</c:v>
                </c:pt>
                <c:pt idx="17">
                  <c:v>72.222099999999998</c:v>
                </c:pt>
                <c:pt idx="18">
                  <c:v>66.088899999999995</c:v>
                </c:pt>
                <c:pt idx="19">
                  <c:v>74.639700000000005</c:v>
                </c:pt>
                <c:pt idx="20">
                  <c:v>65.676000000000002</c:v>
                </c:pt>
                <c:pt idx="21">
                  <c:v>81.238900000000001</c:v>
                </c:pt>
                <c:pt idx="22">
                  <c:v>87.964500000000001</c:v>
                </c:pt>
                <c:pt idx="23">
                  <c:v>102.437</c:v>
                </c:pt>
                <c:pt idx="24">
                  <c:v>92.365300000000005</c:v>
                </c:pt>
                <c:pt idx="25">
                  <c:v>114.07</c:v>
                </c:pt>
                <c:pt idx="26">
                  <c:v>118.73099999999999</c:v>
                </c:pt>
                <c:pt idx="27">
                  <c:v>100.288</c:v>
                </c:pt>
                <c:pt idx="28">
                  <c:v>67.980699999999999</c:v>
                </c:pt>
                <c:pt idx="29">
                  <c:v>59.901299999999999</c:v>
                </c:pt>
                <c:pt idx="30">
                  <c:v>49.908700000000003</c:v>
                </c:pt>
                <c:pt idx="31">
                  <c:v>56.125799999999998</c:v>
                </c:pt>
                <c:pt idx="32">
                  <c:v>65.416499999999999</c:v>
                </c:pt>
                <c:pt idx="33">
                  <c:v>88.398499999999999</c:v>
                </c:pt>
                <c:pt idx="34">
                  <c:v>96.611699999999999</c:v>
                </c:pt>
                <c:pt idx="35">
                  <c:v>91.998900000000006</c:v>
                </c:pt>
                <c:pt idx="36">
                  <c:v>76.646500000000003</c:v>
                </c:pt>
                <c:pt idx="37">
                  <c:v>74.072500000000005</c:v>
                </c:pt>
                <c:pt idx="38">
                  <c:v>64.790800000000004</c:v>
                </c:pt>
                <c:pt idx="39">
                  <c:v>64.472899999999996</c:v>
                </c:pt>
                <c:pt idx="40">
                  <c:v>70.491699999999994</c:v>
                </c:pt>
                <c:pt idx="41">
                  <c:v>64.299700000000001</c:v>
                </c:pt>
                <c:pt idx="42">
                  <c:v>63.610900000000001</c:v>
                </c:pt>
                <c:pt idx="43">
                  <c:v>69.7911</c:v>
                </c:pt>
                <c:pt idx="44">
                  <c:v>66.083399999999997</c:v>
                </c:pt>
                <c:pt idx="45">
                  <c:v>64.342500000000001</c:v>
                </c:pt>
                <c:pt idx="46">
                  <c:v>80.149299999999997</c:v>
                </c:pt>
                <c:pt idx="47">
                  <c:v>91.241100000000003</c:v>
                </c:pt>
                <c:pt idx="48">
                  <c:v>88.010999999999996</c:v>
                </c:pt>
                <c:pt idx="49">
                  <c:v>94.078599999999994</c:v>
                </c:pt>
                <c:pt idx="50">
                  <c:v>90.430599999999998</c:v>
                </c:pt>
                <c:pt idx="51">
                  <c:v>91.361999999999995</c:v>
                </c:pt>
                <c:pt idx="52">
                  <c:v>74.475200000000001</c:v>
                </c:pt>
                <c:pt idx="53">
                  <c:v>69.187299999999993</c:v>
                </c:pt>
                <c:pt idx="54">
                  <c:v>72.739599999999996</c:v>
                </c:pt>
                <c:pt idx="55">
                  <c:v>75.1815</c:v>
                </c:pt>
                <c:pt idx="56">
                  <c:v>56.991</c:v>
                </c:pt>
                <c:pt idx="57">
                  <c:v>51.928199999999997</c:v>
                </c:pt>
                <c:pt idx="58">
                  <c:v>64.009500000000003</c:v>
                </c:pt>
                <c:pt idx="59">
                  <c:v>59.442700000000002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B6-4829-B5BF-FC468ADCBFA0}"/>
            </c:ext>
          </c:extLst>
        </c:ser>
        <c:ser>
          <c:idx val="1"/>
          <c:order val="1"/>
          <c:tx>
            <c:strRef>
              <c:f>UCS!$C$1:$D$1</c:f>
              <c:strCache>
                <c:ptCount val="1"/>
                <c:pt idx="0">
                  <c:v>Post-Treatment - C1</c:v>
                </c:pt>
              </c:strCache>
            </c:strRef>
          </c:tx>
          <c:spPr>
            <a:ln w="25400" cap="rnd">
              <a:solidFill>
                <a:srgbClr val="17CF1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UCS!$C$3:$C$67</c:f>
              <c:numCache>
                <c:formatCode>General</c:formatCode>
                <c:ptCount val="65"/>
                <c:pt idx="0">
                  <c:v>1778.5212999999999</c:v>
                </c:pt>
                <c:pt idx="1">
                  <c:v>1778.5233000000001</c:v>
                </c:pt>
                <c:pt idx="2">
                  <c:v>1778.5253</c:v>
                </c:pt>
                <c:pt idx="3">
                  <c:v>1778.5273</c:v>
                </c:pt>
                <c:pt idx="4">
                  <c:v>1778.5292999999999</c:v>
                </c:pt>
                <c:pt idx="5">
                  <c:v>1778.5313000000001</c:v>
                </c:pt>
                <c:pt idx="6">
                  <c:v>1778.5333000000001</c:v>
                </c:pt>
                <c:pt idx="7">
                  <c:v>1778.5353</c:v>
                </c:pt>
                <c:pt idx="8">
                  <c:v>1778.5373</c:v>
                </c:pt>
                <c:pt idx="9">
                  <c:v>1778.5392999999999</c:v>
                </c:pt>
                <c:pt idx="10">
                  <c:v>1778.5413000000001</c:v>
                </c:pt>
                <c:pt idx="11">
                  <c:v>1778.5433</c:v>
                </c:pt>
                <c:pt idx="12">
                  <c:v>1778.5453</c:v>
                </c:pt>
                <c:pt idx="13">
                  <c:v>1778.5473</c:v>
                </c:pt>
                <c:pt idx="14">
                  <c:v>1778.5492999999999</c:v>
                </c:pt>
                <c:pt idx="15">
                  <c:v>1778.5513000000001</c:v>
                </c:pt>
                <c:pt idx="16">
                  <c:v>1778.5533</c:v>
                </c:pt>
                <c:pt idx="17">
                  <c:v>1778.5553</c:v>
                </c:pt>
                <c:pt idx="18">
                  <c:v>1778.5572999999999</c:v>
                </c:pt>
                <c:pt idx="19">
                  <c:v>1778.5592999999999</c:v>
                </c:pt>
                <c:pt idx="20">
                  <c:v>1778.5613000000001</c:v>
                </c:pt>
                <c:pt idx="21">
                  <c:v>1778.5633</c:v>
                </c:pt>
                <c:pt idx="22">
                  <c:v>1778.5653</c:v>
                </c:pt>
                <c:pt idx="23">
                  <c:v>1778.5672999999999</c:v>
                </c:pt>
                <c:pt idx="24">
                  <c:v>1778.5692999999999</c:v>
                </c:pt>
                <c:pt idx="25">
                  <c:v>1778.5713000000001</c:v>
                </c:pt>
                <c:pt idx="26">
                  <c:v>1778.5733</c:v>
                </c:pt>
                <c:pt idx="27">
                  <c:v>1778.5753</c:v>
                </c:pt>
                <c:pt idx="28">
                  <c:v>1778.5772999999999</c:v>
                </c:pt>
                <c:pt idx="29">
                  <c:v>1778.5793000000001</c:v>
                </c:pt>
                <c:pt idx="30">
                  <c:v>1778.5813000000001</c:v>
                </c:pt>
                <c:pt idx="31">
                  <c:v>1778.5833</c:v>
                </c:pt>
                <c:pt idx="32">
                  <c:v>1778.5853</c:v>
                </c:pt>
                <c:pt idx="33">
                  <c:v>1778.5872999999999</c:v>
                </c:pt>
                <c:pt idx="34">
                  <c:v>1778.5893000000001</c:v>
                </c:pt>
                <c:pt idx="35">
                  <c:v>1778.5913</c:v>
                </c:pt>
                <c:pt idx="36">
                  <c:v>1778.5933</c:v>
                </c:pt>
                <c:pt idx="37">
                  <c:v>1778.5953</c:v>
                </c:pt>
                <c:pt idx="38">
                  <c:v>1778.5972999999999</c:v>
                </c:pt>
                <c:pt idx="39">
                  <c:v>1778.5993000000001</c:v>
                </c:pt>
                <c:pt idx="40">
                  <c:v>1778.6013</c:v>
                </c:pt>
                <c:pt idx="41">
                  <c:v>1778.6033</c:v>
                </c:pt>
                <c:pt idx="42">
                  <c:v>1778.6052999999999</c:v>
                </c:pt>
                <c:pt idx="43">
                  <c:v>1778.6072999999999</c:v>
                </c:pt>
                <c:pt idx="44">
                  <c:v>1778.6093000000001</c:v>
                </c:pt>
                <c:pt idx="45">
                  <c:v>1778.6113</c:v>
                </c:pt>
                <c:pt idx="46">
                  <c:v>1778.6133</c:v>
                </c:pt>
                <c:pt idx="47">
                  <c:v>1778.6152999999999</c:v>
                </c:pt>
                <c:pt idx="48">
                  <c:v>1778.6172999999999</c:v>
                </c:pt>
                <c:pt idx="49">
                  <c:v>1778.6193000000001</c:v>
                </c:pt>
                <c:pt idx="50">
                  <c:v>1778.6213</c:v>
                </c:pt>
                <c:pt idx="51">
                  <c:v>1778.6233</c:v>
                </c:pt>
                <c:pt idx="52">
                  <c:v>1778.6252999999999</c:v>
                </c:pt>
                <c:pt idx="53">
                  <c:v>1778.6272999999999</c:v>
                </c:pt>
                <c:pt idx="54">
                  <c:v>1778.6293000000001</c:v>
                </c:pt>
                <c:pt idx="55">
                  <c:v>1778.6313</c:v>
                </c:pt>
                <c:pt idx="56">
                  <c:v>1778.6333</c:v>
                </c:pt>
                <c:pt idx="57">
                  <c:v>1778.6352999999999</c:v>
                </c:pt>
                <c:pt idx="58">
                  <c:v>1778.6373000000001</c:v>
                </c:pt>
                <c:pt idx="59">
                  <c:v>1778.6393</c:v>
                </c:pt>
              </c:numCache>
            </c:numRef>
          </c:xVal>
          <c:yVal>
            <c:numRef>
              <c:f>UCS!$D$3:$D$67</c:f>
              <c:numCache>
                <c:formatCode>General</c:formatCode>
                <c:ptCount val="65"/>
                <c:pt idx="0">
                  <c:v>147.47499999999999</c:v>
                </c:pt>
                <c:pt idx="1">
                  <c:v>144.89699999999999</c:v>
                </c:pt>
                <c:pt idx="2">
                  <c:v>146.18199999999999</c:v>
                </c:pt>
                <c:pt idx="3">
                  <c:v>137.535</c:v>
                </c:pt>
                <c:pt idx="4">
                  <c:v>141.65799999999999</c:v>
                </c:pt>
                <c:pt idx="5">
                  <c:v>142.02600000000001</c:v>
                </c:pt>
                <c:pt idx="6">
                  <c:v>140.98599999999999</c:v>
                </c:pt>
                <c:pt idx="7">
                  <c:v>139.637</c:v>
                </c:pt>
                <c:pt idx="8">
                  <c:v>147.042</c:v>
                </c:pt>
                <c:pt idx="9">
                  <c:v>152.85</c:v>
                </c:pt>
                <c:pt idx="10">
                  <c:v>148.61000000000001</c:v>
                </c:pt>
                <c:pt idx="11">
                  <c:v>151.059</c:v>
                </c:pt>
                <c:pt idx="12">
                  <c:v>154.673</c:v>
                </c:pt>
                <c:pt idx="13">
                  <c:v>153.501</c:v>
                </c:pt>
                <c:pt idx="14">
                  <c:v>148.20699999999999</c:v>
                </c:pt>
                <c:pt idx="15">
                  <c:v>152.93600000000001</c:v>
                </c:pt>
                <c:pt idx="16">
                  <c:v>157.44800000000001</c:v>
                </c:pt>
                <c:pt idx="17">
                  <c:v>153.239</c:v>
                </c:pt>
                <c:pt idx="18">
                  <c:v>149.35400000000001</c:v>
                </c:pt>
                <c:pt idx="19">
                  <c:v>152.28299999999999</c:v>
                </c:pt>
                <c:pt idx="20">
                  <c:v>151.375</c:v>
                </c:pt>
                <c:pt idx="21">
                  <c:v>148.881</c:v>
                </c:pt>
                <c:pt idx="22">
                  <c:v>151.68899999999999</c:v>
                </c:pt>
                <c:pt idx="23">
                  <c:v>158.77000000000001</c:v>
                </c:pt>
                <c:pt idx="24">
                  <c:v>159.96100000000001</c:v>
                </c:pt>
                <c:pt idx="25">
                  <c:v>158.93</c:v>
                </c:pt>
                <c:pt idx="26">
                  <c:v>156.886</c:v>
                </c:pt>
                <c:pt idx="27">
                  <c:v>156.01900000000001</c:v>
                </c:pt>
                <c:pt idx="28">
                  <c:v>156.124</c:v>
                </c:pt>
                <c:pt idx="29">
                  <c:v>149.37100000000001</c:v>
                </c:pt>
                <c:pt idx="30">
                  <c:v>149.11000000000001</c:v>
                </c:pt>
                <c:pt idx="31">
                  <c:v>150.47800000000001</c:v>
                </c:pt>
                <c:pt idx="32">
                  <c:v>151.994</c:v>
                </c:pt>
                <c:pt idx="33">
                  <c:v>152.24700000000001</c:v>
                </c:pt>
                <c:pt idx="34">
                  <c:v>160.47</c:v>
                </c:pt>
                <c:pt idx="35">
                  <c:v>160.584</c:v>
                </c:pt>
                <c:pt idx="36">
                  <c:v>162.375</c:v>
                </c:pt>
                <c:pt idx="37">
                  <c:v>159.93700000000001</c:v>
                </c:pt>
                <c:pt idx="38">
                  <c:v>160.16499999999999</c:v>
                </c:pt>
                <c:pt idx="39">
                  <c:v>154.80799999999999</c:v>
                </c:pt>
                <c:pt idx="40">
                  <c:v>160.97499999999999</c:v>
                </c:pt>
                <c:pt idx="41">
                  <c:v>164.08500000000001</c:v>
                </c:pt>
                <c:pt idx="42">
                  <c:v>169.13</c:v>
                </c:pt>
                <c:pt idx="43">
                  <c:v>172.03700000000001</c:v>
                </c:pt>
                <c:pt idx="44">
                  <c:v>177.81100000000001</c:v>
                </c:pt>
                <c:pt idx="45">
                  <c:v>173.86699999999999</c:v>
                </c:pt>
                <c:pt idx="46">
                  <c:v>170.43799999999999</c:v>
                </c:pt>
                <c:pt idx="47">
                  <c:v>169.86600000000001</c:v>
                </c:pt>
                <c:pt idx="48">
                  <c:v>162.70099999999999</c:v>
                </c:pt>
                <c:pt idx="49">
                  <c:v>160.03800000000001</c:v>
                </c:pt>
                <c:pt idx="50">
                  <c:v>158.66200000000001</c:v>
                </c:pt>
                <c:pt idx="51">
                  <c:v>165.19499999999999</c:v>
                </c:pt>
                <c:pt idx="52">
                  <c:v>164.94499999999999</c:v>
                </c:pt>
                <c:pt idx="53">
                  <c:v>171.68299999999999</c:v>
                </c:pt>
                <c:pt idx="54">
                  <c:v>175.25</c:v>
                </c:pt>
                <c:pt idx="55">
                  <c:v>176.006</c:v>
                </c:pt>
                <c:pt idx="56">
                  <c:v>176.85499999999999</c:v>
                </c:pt>
                <c:pt idx="57">
                  <c:v>177.505</c:v>
                </c:pt>
                <c:pt idx="58">
                  <c:v>175.22900000000001</c:v>
                </c:pt>
                <c:pt idx="59">
                  <c:v>164.172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7B6-4829-B5BF-FC468ADCBF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1778.6399999999999"/>
          <c:min val="1778.52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ax val="180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UCS!$E$1:$F$1</c:f>
              <c:strCache>
                <c:ptCount val="1"/>
                <c:pt idx="0">
                  <c:v>Pre-Treatment - C2</c:v>
                </c:pt>
              </c:strCache>
            </c:strRef>
          </c:tx>
          <c:spPr>
            <a:ln w="25400" cap="rnd">
              <a:solidFill>
                <a:srgbClr val="0067B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UCS!$E$3:$E$61</c:f>
              <c:numCache>
                <c:formatCode>General</c:formatCode>
                <c:ptCount val="59"/>
                <c:pt idx="0">
                  <c:v>1778.5212999999999</c:v>
                </c:pt>
                <c:pt idx="1">
                  <c:v>1778.5233000000001</c:v>
                </c:pt>
                <c:pt idx="2">
                  <c:v>1778.5253</c:v>
                </c:pt>
                <c:pt idx="3">
                  <c:v>1778.5273</c:v>
                </c:pt>
                <c:pt idx="4">
                  <c:v>1778.5292999999999</c:v>
                </c:pt>
                <c:pt idx="5">
                  <c:v>1778.5313000000001</c:v>
                </c:pt>
                <c:pt idx="6">
                  <c:v>1778.5333000000001</c:v>
                </c:pt>
                <c:pt idx="7">
                  <c:v>1778.5353</c:v>
                </c:pt>
                <c:pt idx="8">
                  <c:v>1778.5373</c:v>
                </c:pt>
                <c:pt idx="9">
                  <c:v>1778.5392999999999</c:v>
                </c:pt>
                <c:pt idx="10">
                  <c:v>1778.5413000000001</c:v>
                </c:pt>
                <c:pt idx="11">
                  <c:v>1778.5433</c:v>
                </c:pt>
                <c:pt idx="12">
                  <c:v>1778.5453</c:v>
                </c:pt>
                <c:pt idx="13">
                  <c:v>1778.5473</c:v>
                </c:pt>
                <c:pt idx="14">
                  <c:v>1778.5492999999999</c:v>
                </c:pt>
                <c:pt idx="15">
                  <c:v>1778.5513000000001</c:v>
                </c:pt>
                <c:pt idx="16">
                  <c:v>1778.5533</c:v>
                </c:pt>
                <c:pt idx="17">
                  <c:v>1778.5553</c:v>
                </c:pt>
                <c:pt idx="18">
                  <c:v>1778.5572999999999</c:v>
                </c:pt>
                <c:pt idx="19">
                  <c:v>1778.5592999999999</c:v>
                </c:pt>
                <c:pt idx="20">
                  <c:v>1778.5613000000001</c:v>
                </c:pt>
                <c:pt idx="21">
                  <c:v>1778.5633</c:v>
                </c:pt>
                <c:pt idx="22">
                  <c:v>1778.5653</c:v>
                </c:pt>
                <c:pt idx="23">
                  <c:v>1778.5672999999999</c:v>
                </c:pt>
                <c:pt idx="24">
                  <c:v>1778.5692999999999</c:v>
                </c:pt>
                <c:pt idx="25">
                  <c:v>1778.5713000000001</c:v>
                </c:pt>
                <c:pt idx="26">
                  <c:v>1778.5733</c:v>
                </c:pt>
                <c:pt idx="27">
                  <c:v>1778.5753</c:v>
                </c:pt>
                <c:pt idx="28">
                  <c:v>1778.5772999999999</c:v>
                </c:pt>
                <c:pt idx="29">
                  <c:v>1778.5793000000001</c:v>
                </c:pt>
                <c:pt idx="30">
                  <c:v>1778.5813000000001</c:v>
                </c:pt>
                <c:pt idx="31">
                  <c:v>1778.5833</c:v>
                </c:pt>
                <c:pt idx="32">
                  <c:v>1778.5853</c:v>
                </c:pt>
                <c:pt idx="33">
                  <c:v>1778.5872999999999</c:v>
                </c:pt>
                <c:pt idx="34">
                  <c:v>1778.5893000000001</c:v>
                </c:pt>
                <c:pt idx="35">
                  <c:v>1778.5913</c:v>
                </c:pt>
                <c:pt idx="36">
                  <c:v>1778.5933</c:v>
                </c:pt>
                <c:pt idx="37">
                  <c:v>1778.5953</c:v>
                </c:pt>
                <c:pt idx="38">
                  <c:v>1778.5972999999999</c:v>
                </c:pt>
                <c:pt idx="39">
                  <c:v>1778.5993000000001</c:v>
                </c:pt>
                <c:pt idx="40">
                  <c:v>1778.6013</c:v>
                </c:pt>
                <c:pt idx="41">
                  <c:v>1778.6033</c:v>
                </c:pt>
                <c:pt idx="42">
                  <c:v>1778.6052999999999</c:v>
                </c:pt>
                <c:pt idx="43">
                  <c:v>1778.6072999999999</c:v>
                </c:pt>
                <c:pt idx="44">
                  <c:v>1778.6093000000001</c:v>
                </c:pt>
                <c:pt idx="45">
                  <c:v>1778.6113</c:v>
                </c:pt>
                <c:pt idx="46">
                  <c:v>1778.6133</c:v>
                </c:pt>
                <c:pt idx="47">
                  <c:v>1778.6152999999999</c:v>
                </c:pt>
                <c:pt idx="48">
                  <c:v>1778.6172999999999</c:v>
                </c:pt>
                <c:pt idx="49">
                  <c:v>1778.6193000000001</c:v>
                </c:pt>
                <c:pt idx="50">
                  <c:v>1778.6213</c:v>
                </c:pt>
                <c:pt idx="51">
                  <c:v>1778.6233</c:v>
                </c:pt>
                <c:pt idx="52">
                  <c:v>1778.6252999999999</c:v>
                </c:pt>
                <c:pt idx="53">
                  <c:v>1778.6272999999999</c:v>
                </c:pt>
                <c:pt idx="54">
                  <c:v>1778.6293000000001</c:v>
                </c:pt>
                <c:pt idx="55">
                  <c:v>1778.6313</c:v>
                </c:pt>
                <c:pt idx="56">
                  <c:v>1778.6333</c:v>
                </c:pt>
                <c:pt idx="57">
                  <c:v>1778.6352999999999</c:v>
                </c:pt>
                <c:pt idx="58">
                  <c:v>1778.6373000000001</c:v>
                </c:pt>
              </c:numCache>
            </c:numRef>
          </c:xVal>
          <c:yVal>
            <c:numRef>
              <c:f>UCS!$F$3:$F$61</c:f>
              <c:numCache>
                <c:formatCode>General</c:formatCode>
                <c:ptCount val="59"/>
                <c:pt idx="0">
                  <c:v>79.040300000000002</c:v>
                </c:pt>
                <c:pt idx="1">
                  <c:v>76.180999999999997</c:v>
                </c:pt>
                <c:pt idx="2">
                  <c:v>75.246099999999998</c:v>
                </c:pt>
                <c:pt idx="3">
                  <c:v>76.459000000000003</c:v>
                </c:pt>
                <c:pt idx="4">
                  <c:v>84.243399999999994</c:v>
                </c:pt>
                <c:pt idx="5">
                  <c:v>88.951099999999997</c:v>
                </c:pt>
                <c:pt idx="6">
                  <c:v>83.707899999999995</c:v>
                </c:pt>
                <c:pt idx="7">
                  <c:v>79.581999999999994</c:v>
                </c:pt>
                <c:pt idx="8">
                  <c:v>80.465800000000002</c:v>
                </c:pt>
                <c:pt idx="9">
                  <c:v>76.224900000000005</c:v>
                </c:pt>
                <c:pt idx="10">
                  <c:v>71.318899999999999</c:v>
                </c:pt>
                <c:pt idx="11">
                  <c:v>75.740499999999997</c:v>
                </c:pt>
                <c:pt idx="12">
                  <c:v>79.584000000000003</c:v>
                </c:pt>
                <c:pt idx="13">
                  <c:v>76.139300000000006</c:v>
                </c:pt>
                <c:pt idx="14">
                  <c:v>77.212500000000006</c:v>
                </c:pt>
                <c:pt idx="15">
                  <c:v>80.040199999999999</c:v>
                </c:pt>
                <c:pt idx="16">
                  <c:v>79.929900000000004</c:v>
                </c:pt>
                <c:pt idx="17">
                  <c:v>77.357100000000003</c:v>
                </c:pt>
                <c:pt idx="18">
                  <c:v>78.930899999999994</c:v>
                </c:pt>
                <c:pt idx="19">
                  <c:v>77.415400000000005</c:v>
                </c:pt>
                <c:pt idx="20">
                  <c:v>70.711100000000002</c:v>
                </c:pt>
                <c:pt idx="21">
                  <c:v>68.130899999999997</c:v>
                </c:pt>
                <c:pt idx="22">
                  <c:v>70.027199999999993</c:v>
                </c:pt>
                <c:pt idx="23">
                  <c:v>72.632599999999996</c:v>
                </c:pt>
                <c:pt idx="24">
                  <c:v>73.171899999999994</c:v>
                </c:pt>
                <c:pt idx="25">
                  <c:v>76.289000000000001</c:v>
                </c:pt>
                <c:pt idx="26">
                  <c:v>74.491500000000002</c:v>
                </c:pt>
                <c:pt idx="27">
                  <c:v>71.538899999999998</c:v>
                </c:pt>
                <c:pt idx="28">
                  <c:v>67.787599999999998</c:v>
                </c:pt>
                <c:pt idx="29">
                  <c:v>72.207099999999997</c:v>
                </c:pt>
                <c:pt idx="30">
                  <c:v>79.667100000000005</c:v>
                </c:pt>
                <c:pt idx="31">
                  <c:v>85.516199999999998</c:v>
                </c:pt>
                <c:pt idx="32">
                  <c:v>88.798100000000005</c:v>
                </c:pt>
                <c:pt idx="33">
                  <c:v>88.752200000000002</c:v>
                </c:pt>
                <c:pt idx="34">
                  <c:v>84.447999999999993</c:v>
                </c:pt>
                <c:pt idx="35">
                  <c:v>79.421300000000002</c:v>
                </c:pt>
                <c:pt idx="36">
                  <c:v>68.602500000000006</c:v>
                </c:pt>
                <c:pt idx="37">
                  <c:v>53.9328</c:v>
                </c:pt>
                <c:pt idx="38">
                  <c:v>55.129600000000003</c:v>
                </c:pt>
                <c:pt idx="39">
                  <c:v>63.044899999999998</c:v>
                </c:pt>
                <c:pt idx="40">
                  <c:v>67.529399999999995</c:v>
                </c:pt>
                <c:pt idx="41">
                  <c:v>79.951999999999998</c:v>
                </c:pt>
                <c:pt idx="42">
                  <c:v>96.198700000000002</c:v>
                </c:pt>
                <c:pt idx="43">
                  <c:v>93.9602</c:v>
                </c:pt>
                <c:pt idx="44">
                  <c:v>82.507499999999993</c:v>
                </c:pt>
                <c:pt idx="45">
                  <c:v>77.671899999999994</c:v>
                </c:pt>
                <c:pt idx="46">
                  <c:v>75.677400000000006</c:v>
                </c:pt>
                <c:pt idx="47">
                  <c:v>71.513099999999994</c:v>
                </c:pt>
                <c:pt idx="48">
                  <c:v>71.742199999999997</c:v>
                </c:pt>
                <c:pt idx="49">
                  <c:v>78.470399999999998</c:v>
                </c:pt>
                <c:pt idx="50">
                  <c:v>73.264799999999994</c:v>
                </c:pt>
                <c:pt idx="51">
                  <c:v>68.973600000000005</c:v>
                </c:pt>
                <c:pt idx="52">
                  <c:v>63.995399999999997</c:v>
                </c:pt>
                <c:pt idx="53">
                  <c:v>63.147799999999997</c:v>
                </c:pt>
                <c:pt idx="54">
                  <c:v>63.553100000000001</c:v>
                </c:pt>
                <c:pt idx="55">
                  <c:v>69.736400000000003</c:v>
                </c:pt>
                <c:pt idx="56">
                  <c:v>74.931600000000003</c:v>
                </c:pt>
                <c:pt idx="57">
                  <c:v>83.397499999999994</c:v>
                </c:pt>
                <c:pt idx="58">
                  <c:v>87.713399999999993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FE-4CAF-8A36-B17AB89304E8}"/>
            </c:ext>
          </c:extLst>
        </c:ser>
        <c:ser>
          <c:idx val="1"/>
          <c:order val="1"/>
          <c:tx>
            <c:strRef>
              <c:f>UCS!$G$1:$H$1</c:f>
              <c:strCache>
                <c:ptCount val="1"/>
                <c:pt idx="0">
                  <c:v>Post-Treatment - C2</c:v>
                </c:pt>
              </c:strCache>
            </c:strRef>
          </c:tx>
          <c:spPr>
            <a:ln w="25400" cap="rnd">
              <a:solidFill>
                <a:srgbClr val="17CF1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UCS!$G$3:$G$61</c:f>
              <c:numCache>
                <c:formatCode>General</c:formatCode>
                <c:ptCount val="59"/>
                <c:pt idx="0">
                  <c:v>1778.5212999999999</c:v>
                </c:pt>
                <c:pt idx="1">
                  <c:v>1778.5233000000001</c:v>
                </c:pt>
                <c:pt idx="2">
                  <c:v>1778.5253</c:v>
                </c:pt>
                <c:pt idx="3">
                  <c:v>1778.5273</c:v>
                </c:pt>
                <c:pt idx="4">
                  <c:v>1778.5292999999999</c:v>
                </c:pt>
                <c:pt idx="5">
                  <c:v>1778.5313000000001</c:v>
                </c:pt>
                <c:pt idx="6">
                  <c:v>1778.5333000000001</c:v>
                </c:pt>
                <c:pt idx="7">
                  <c:v>1778.5353</c:v>
                </c:pt>
                <c:pt idx="8">
                  <c:v>1778.5373</c:v>
                </c:pt>
                <c:pt idx="9">
                  <c:v>1778.5392999999999</c:v>
                </c:pt>
                <c:pt idx="10">
                  <c:v>1778.5413000000001</c:v>
                </c:pt>
                <c:pt idx="11">
                  <c:v>1778.5433</c:v>
                </c:pt>
                <c:pt idx="12">
                  <c:v>1778.5453</c:v>
                </c:pt>
                <c:pt idx="13">
                  <c:v>1778.5473</c:v>
                </c:pt>
                <c:pt idx="14">
                  <c:v>1778.5492999999999</c:v>
                </c:pt>
                <c:pt idx="15">
                  <c:v>1778.5513000000001</c:v>
                </c:pt>
                <c:pt idx="16">
                  <c:v>1778.5533</c:v>
                </c:pt>
                <c:pt idx="17">
                  <c:v>1778.5553</c:v>
                </c:pt>
                <c:pt idx="18">
                  <c:v>1778.5572999999999</c:v>
                </c:pt>
                <c:pt idx="19">
                  <c:v>1778.5592999999999</c:v>
                </c:pt>
                <c:pt idx="20">
                  <c:v>1778.5613000000001</c:v>
                </c:pt>
                <c:pt idx="21">
                  <c:v>1778.5633</c:v>
                </c:pt>
                <c:pt idx="22">
                  <c:v>1778.5653</c:v>
                </c:pt>
                <c:pt idx="23">
                  <c:v>1778.5672999999999</c:v>
                </c:pt>
                <c:pt idx="24">
                  <c:v>1778.5692999999999</c:v>
                </c:pt>
                <c:pt idx="25">
                  <c:v>1778.5713000000001</c:v>
                </c:pt>
                <c:pt idx="26">
                  <c:v>1778.5733</c:v>
                </c:pt>
                <c:pt idx="27">
                  <c:v>1778.5753</c:v>
                </c:pt>
                <c:pt idx="28">
                  <c:v>1778.5772999999999</c:v>
                </c:pt>
                <c:pt idx="29">
                  <c:v>1778.5793000000001</c:v>
                </c:pt>
                <c:pt idx="30">
                  <c:v>1778.5813000000001</c:v>
                </c:pt>
                <c:pt idx="31">
                  <c:v>1778.5833</c:v>
                </c:pt>
                <c:pt idx="32">
                  <c:v>1778.5853</c:v>
                </c:pt>
                <c:pt idx="33">
                  <c:v>1778.5872999999999</c:v>
                </c:pt>
                <c:pt idx="34">
                  <c:v>1778.5893000000001</c:v>
                </c:pt>
                <c:pt idx="35">
                  <c:v>1778.5913</c:v>
                </c:pt>
                <c:pt idx="36">
                  <c:v>1778.5933</c:v>
                </c:pt>
                <c:pt idx="37">
                  <c:v>1778.5953</c:v>
                </c:pt>
                <c:pt idx="38">
                  <c:v>1778.5972999999999</c:v>
                </c:pt>
                <c:pt idx="39">
                  <c:v>1778.5993000000001</c:v>
                </c:pt>
                <c:pt idx="40">
                  <c:v>1778.6013</c:v>
                </c:pt>
                <c:pt idx="41">
                  <c:v>1778.6033</c:v>
                </c:pt>
                <c:pt idx="42">
                  <c:v>1778.6052999999999</c:v>
                </c:pt>
                <c:pt idx="43">
                  <c:v>1778.6072999999999</c:v>
                </c:pt>
                <c:pt idx="44">
                  <c:v>1778.6093000000001</c:v>
                </c:pt>
                <c:pt idx="45">
                  <c:v>1778.6113</c:v>
                </c:pt>
                <c:pt idx="46">
                  <c:v>1778.6133</c:v>
                </c:pt>
                <c:pt idx="47">
                  <c:v>1778.6152999999999</c:v>
                </c:pt>
                <c:pt idx="48">
                  <c:v>1778.6172999999999</c:v>
                </c:pt>
                <c:pt idx="49">
                  <c:v>1778.6193000000001</c:v>
                </c:pt>
                <c:pt idx="50">
                  <c:v>1778.6213</c:v>
                </c:pt>
                <c:pt idx="51">
                  <c:v>1778.6233</c:v>
                </c:pt>
                <c:pt idx="52">
                  <c:v>1778.6252999999999</c:v>
                </c:pt>
                <c:pt idx="53">
                  <c:v>1778.6272999999999</c:v>
                </c:pt>
                <c:pt idx="54">
                  <c:v>1778.6293000000001</c:v>
                </c:pt>
                <c:pt idx="55">
                  <c:v>1778.6313</c:v>
                </c:pt>
                <c:pt idx="56">
                  <c:v>1778.6333</c:v>
                </c:pt>
                <c:pt idx="57">
                  <c:v>1778.6352999999999</c:v>
                </c:pt>
                <c:pt idx="58">
                  <c:v>1778.6373000000001</c:v>
                </c:pt>
              </c:numCache>
            </c:numRef>
          </c:xVal>
          <c:yVal>
            <c:numRef>
              <c:f>UCS!$H$3:$H$61</c:f>
              <c:numCache>
                <c:formatCode>0.000</c:formatCode>
                <c:ptCount val="59"/>
                <c:pt idx="0">
                  <c:v>127.517</c:v>
                </c:pt>
                <c:pt idx="1">
                  <c:v>131.124</c:v>
                </c:pt>
                <c:pt idx="2">
                  <c:v>126.205</c:v>
                </c:pt>
                <c:pt idx="3">
                  <c:v>124.843</c:v>
                </c:pt>
                <c:pt idx="4">
                  <c:v>119.048</c:v>
                </c:pt>
                <c:pt idx="5">
                  <c:v>118.503</c:v>
                </c:pt>
                <c:pt idx="6">
                  <c:v>113.797</c:v>
                </c:pt>
                <c:pt idx="7">
                  <c:v>104.206</c:v>
                </c:pt>
                <c:pt idx="8" formatCode="General">
                  <c:v>103.96599999999999</c:v>
                </c:pt>
                <c:pt idx="9" formatCode="General">
                  <c:v>102.47</c:v>
                </c:pt>
                <c:pt idx="10" formatCode="General">
                  <c:v>98.962299999999999</c:v>
                </c:pt>
                <c:pt idx="11" formatCode="General">
                  <c:v>99.639700000000005</c:v>
                </c:pt>
                <c:pt idx="12" formatCode="General">
                  <c:v>105.10599999999999</c:v>
                </c:pt>
                <c:pt idx="13" formatCode="General">
                  <c:v>103.464</c:v>
                </c:pt>
                <c:pt idx="14" formatCode="General">
                  <c:v>100.239</c:v>
                </c:pt>
                <c:pt idx="15" formatCode="General">
                  <c:v>101.169</c:v>
                </c:pt>
                <c:pt idx="16" formatCode="General">
                  <c:v>103.98699999999999</c:v>
                </c:pt>
                <c:pt idx="17" formatCode="General">
                  <c:v>103.65300000000001</c:v>
                </c:pt>
                <c:pt idx="18" formatCode="General">
                  <c:v>104.979</c:v>
                </c:pt>
                <c:pt idx="19" formatCode="General">
                  <c:v>105.452</c:v>
                </c:pt>
                <c:pt idx="20" formatCode="General">
                  <c:v>102.46599999999999</c:v>
                </c:pt>
                <c:pt idx="21" formatCode="General">
                  <c:v>93.504300000000001</c:v>
                </c:pt>
                <c:pt idx="22" formatCode="General">
                  <c:v>88.058400000000006</c:v>
                </c:pt>
                <c:pt idx="23" formatCode="General">
                  <c:v>90.951400000000007</c:v>
                </c:pt>
                <c:pt idx="24" formatCode="General">
                  <c:v>91.9636</c:v>
                </c:pt>
                <c:pt idx="25" formatCode="General">
                  <c:v>92.831900000000005</c:v>
                </c:pt>
                <c:pt idx="26" formatCode="General">
                  <c:v>93.378699999999995</c:v>
                </c:pt>
                <c:pt idx="27" formatCode="General">
                  <c:v>92.071399999999997</c:v>
                </c:pt>
                <c:pt idx="28" formatCode="General">
                  <c:v>86.972499999999997</c:v>
                </c:pt>
                <c:pt idx="29" formatCode="General">
                  <c:v>87.7376</c:v>
                </c:pt>
                <c:pt idx="30" formatCode="General">
                  <c:v>92.201499999999996</c:v>
                </c:pt>
                <c:pt idx="31" formatCode="General">
                  <c:v>100.354</c:v>
                </c:pt>
                <c:pt idx="32" formatCode="General">
                  <c:v>106.17700000000001</c:v>
                </c:pt>
                <c:pt idx="33" formatCode="General">
                  <c:v>106.051</c:v>
                </c:pt>
                <c:pt idx="34" formatCode="General">
                  <c:v>104.27800000000001</c:v>
                </c:pt>
                <c:pt idx="35" formatCode="General">
                  <c:v>103.992</c:v>
                </c:pt>
                <c:pt idx="36" formatCode="General">
                  <c:v>96.084199999999996</c:v>
                </c:pt>
                <c:pt idx="37" formatCode="General">
                  <c:v>85.094800000000006</c:v>
                </c:pt>
                <c:pt idx="38" formatCode="General">
                  <c:v>77.709000000000003</c:v>
                </c:pt>
                <c:pt idx="39" formatCode="General">
                  <c:v>75.180400000000006</c:v>
                </c:pt>
                <c:pt idx="40" formatCode="General">
                  <c:v>65.81</c:v>
                </c:pt>
                <c:pt idx="41" formatCode="General">
                  <c:v>63.048299999999998</c:v>
                </c:pt>
                <c:pt idx="42" formatCode="General">
                  <c:v>67.943899999999999</c:v>
                </c:pt>
                <c:pt idx="43" formatCode="General">
                  <c:v>67.586500000000001</c:v>
                </c:pt>
                <c:pt idx="44" formatCode="General">
                  <c:v>61.299300000000002</c:v>
                </c:pt>
                <c:pt idx="45" formatCode="General">
                  <c:v>65.051400000000001</c:v>
                </c:pt>
                <c:pt idx="46" formatCode="General">
                  <c:v>70.787400000000005</c:v>
                </c:pt>
                <c:pt idx="47" formatCode="General">
                  <c:v>76.420199999999994</c:v>
                </c:pt>
                <c:pt idx="48" formatCode="General">
                  <c:v>84.782700000000006</c:v>
                </c:pt>
                <c:pt idx="49" formatCode="General">
                  <c:v>99.015600000000006</c:v>
                </c:pt>
                <c:pt idx="50" formatCode="General">
                  <c:v>98.707899999999995</c:v>
                </c:pt>
                <c:pt idx="51" formatCode="General">
                  <c:v>111.63</c:v>
                </c:pt>
                <c:pt idx="52" formatCode="General">
                  <c:v>108.258</c:v>
                </c:pt>
                <c:pt idx="53" formatCode="General">
                  <c:v>98.064599999999999</c:v>
                </c:pt>
                <c:pt idx="54" formatCode="General">
                  <c:v>96.302000000000007</c:v>
                </c:pt>
                <c:pt idx="55" formatCode="General">
                  <c:v>107.70699999999999</c:v>
                </c:pt>
                <c:pt idx="56" formatCode="General">
                  <c:v>100.364</c:v>
                </c:pt>
                <c:pt idx="57" formatCode="General">
                  <c:v>102.66200000000001</c:v>
                </c:pt>
                <c:pt idx="58" formatCode="General">
                  <c:v>113.857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FE-4CAF-8A36-B17AB89304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1778.6399999999999"/>
          <c:min val="1778.52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in val="40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UCS!$I$1:$J$1</c:f>
              <c:strCache>
                <c:ptCount val="1"/>
                <c:pt idx="0">
                  <c:v>Pre-Treatment - C3</c:v>
                </c:pt>
              </c:strCache>
            </c:strRef>
          </c:tx>
          <c:spPr>
            <a:ln w="25400" cap="rnd">
              <a:solidFill>
                <a:srgbClr val="0067B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UCS!$I$3:$I$49</c:f>
              <c:numCache>
                <c:formatCode>General</c:formatCode>
                <c:ptCount val="47"/>
                <c:pt idx="0">
                  <c:v>1778.5212999999999</c:v>
                </c:pt>
                <c:pt idx="1">
                  <c:v>1778.5235</c:v>
                </c:pt>
                <c:pt idx="2">
                  <c:v>1778.5255</c:v>
                </c:pt>
                <c:pt idx="3">
                  <c:v>1778.5274999999999</c:v>
                </c:pt>
                <c:pt idx="4">
                  <c:v>1778.5295000000001</c:v>
                </c:pt>
                <c:pt idx="5">
                  <c:v>1778.5315000000001</c:v>
                </c:pt>
                <c:pt idx="6">
                  <c:v>1778.5335</c:v>
                </c:pt>
                <c:pt idx="7">
                  <c:v>1778.5355</c:v>
                </c:pt>
                <c:pt idx="8">
                  <c:v>1778.5374999999999</c:v>
                </c:pt>
                <c:pt idx="9">
                  <c:v>1778.5395000000001</c:v>
                </c:pt>
                <c:pt idx="10">
                  <c:v>1778.5415</c:v>
                </c:pt>
                <c:pt idx="11">
                  <c:v>1778.5435</c:v>
                </c:pt>
                <c:pt idx="12">
                  <c:v>1778.5454999999999</c:v>
                </c:pt>
                <c:pt idx="13">
                  <c:v>1778.5474999999999</c:v>
                </c:pt>
                <c:pt idx="14">
                  <c:v>1778.5495000000001</c:v>
                </c:pt>
                <c:pt idx="15">
                  <c:v>1778.5515</c:v>
                </c:pt>
                <c:pt idx="16">
                  <c:v>1778.5535</c:v>
                </c:pt>
                <c:pt idx="17">
                  <c:v>1778.5554999999999</c:v>
                </c:pt>
                <c:pt idx="18">
                  <c:v>1778.5574999999999</c:v>
                </c:pt>
                <c:pt idx="19">
                  <c:v>1778.5595000000001</c:v>
                </c:pt>
                <c:pt idx="20">
                  <c:v>1778.5615</c:v>
                </c:pt>
                <c:pt idx="21">
                  <c:v>1778.5635</c:v>
                </c:pt>
                <c:pt idx="22">
                  <c:v>1778.5654999999999</c:v>
                </c:pt>
                <c:pt idx="23">
                  <c:v>1778.5674999999999</c:v>
                </c:pt>
                <c:pt idx="24">
                  <c:v>1778.5695000000001</c:v>
                </c:pt>
                <c:pt idx="25">
                  <c:v>1778.5715</c:v>
                </c:pt>
                <c:pt idx="26">
                  <c:v>1778.5735</c:v>
                </c:pt>
                <c:pt idx="27">
                  <c:v>1778.5754999999999</c:v>
                </c:pt>
                <c:pt idx="28">
                  <c:v>1778.5775000000001</c:v>
                </c:pt>
                <c:pt idx="29">
                  <c:v>1778.5795000000001</c:v>
                </c:pt>
                <c:pt idx="30">
                  <c:v>1778.5815</c:v>
                </c:pt>
                <c:pt idx="31">
                  <c:v>1778.5835</c:v>
                </c:pt>
                <c:pt idx="32">
                  <c:v>1778.5854999999999</c:v>
                </c:pt>
                <c:pt idx="33">
                  <c:v>1778.5875000000001</c:v>
                </c:pt>
                <c:pt idx="34">
                  <c:v>1778.5895</c:v>
                </c:pt>
                <c:pt idx="35">
                  <c:v>1778.5915</c:v>
                </c:pt>
                <c:pt idx="36">
                  <c:v>1778.5934999999999</c:v>
                </c:pt>
                <c:pt idx="37">
                  <c:v>1778.5954999999999</c:v>
                </c:pt>
                <c:pt idx="38">
                  <c:v>1778.5975000000001</c:v>
                </c:pt>
                <c:pt idx="39">
                  <c:v>1778.5995</c:v>
                </c:pt>
                <c:pt idx="40">
                  <c:v>1778.6015</c:v>
                </c:pt>
                <c:pt idx="41">
                  <c:v>1778.6034999999999</c:v>
                </c:pt>
                <c:pt idx="42">
                  <c:v>1778.6054999999999</c:v>
                </c:pt>
                <c:pt idx="43">
                  <c:v>1778.6075000000001</c:v>
                </c:pt>
                <c:pt idx="44">
                  <c:v>1778.6095</c:v>
                </c:pt>
                <c:pt idx="45">
                  <c:v>1778.6115</c:v>
                </c:pt>
                <c:pt idx="46">
                  <c:v>1778.6134999999999</c:v>
                </c:pt>
              </c:numCache>
            </c:numRef>
          </c:xVal>
          <c:yVal>
            <c:numRef>
              <c:f>UCS!$J$3:$J$49</c:f>
              <c:numCache>
                <c:formatCode>0.000</c:formatCode>
                <c:ptCount val="47"/>
                <c:pt idx="0">
                  <c:v>73.6751</c:v>
                </c:pt>
                <c:pt idx="1">
                  <c:v>78.950299999999999</c:v>
                </c:pt>
                <c:pt idx="2">
                  <c:v>95.761899999999997</c:v>
                </c:pt>
                <c:pt idx="3">
                  <c:v>89.4011</c:v>
                </c:pt>
                <c:pt idx="4">
                  <c:v>91.208699999999993</c:v>
                </c:pt>
                <c:pt idx="5">
                  <c:v>81.769199999999998</c:v>
                </c:pt>
                <c:pt idx="6">
                  <c:v>76.314800000000005</c:v>
                </c:pt>
                <c:pt idx="7">
                  <c:v>62.358199999999997</c:v>
                </c:pt>
                <c:pt idx="8" formatCode="General">
                  <c:v>68.309700000000007</c:v>
                </c:pt>
                <c:pt idx="9" formatCode="General">
                  <c:v>75.266499999999994</c:v>
                </c:pt>
                <c:pt idx="10" formatCode="General">
                  <c:v>69.441999999999993</c:v>
                </c:pt>
                <c:pt idx="11" formatCode="General">
                  <c:v>67.846500000000006</c:v>
                </c:pt>
                <c:pt idx="12" formatCode="General">
                  <c:v>79.004000000000005</c:v>
                </c:pt>
                <c:pt idx="13" formatCode="General">
                  <c:v>68.968999999999994</c:v>
                </c:pt>
                <c:pt idx="14" formatCode="General">
                  <c:v>64.428299999999993</c:v>
                </c:pt>
                <c:pt idx="15" formatCode="General">
                  <c:v>77.513900000000007</c:v>
                </c:pt>
                <c:pt idx="16" formatCode="General">
                  <c:v>86.900400000000005</c:v>
                </c:pt>
                <c:pt idx="17" formatCode="General">
                  <c:v>76.942999999999998</c:v>
                </c:pt>
                <c:pt idx="18" formatCode="General">
                  <c:v>75.043300000000002</c:v>
                </c:pt>
                <c:pt idx="19" formatCode="General">
                  <c:v>76.197800000000001</c:v>
                </c:pt>
                <c:pt idx="20" formatCode="General">
                  <c:v>81.731899999999996</c:v>
                </c:pt>
                <c:pt idx="21" formatCode="General">
                  <c:v>83.7226</c:v>
                </c:pt>
                <c:pt idx="22" formatCode="General">
                  <c:v>90.6023</c:v>
                </c:pt>
                <c:pt idx="23" formatCode="General">
                  <c:v>98.823899999999995</c:v>
                </c:pt>
                <c:pt idx="24" formatCode="General">
                  <c:v>103.761</c:v>
                </c:pt>
                <c:pt idx="25" formatCode="General">
                  <c:v>93.120999999999995</c:v>
                </c:pt>
                <c:pt idx="26" formatCode="General">
                  <c:v>87.564800000000005</c:v>
                </c:pt>
                <c:pt idx="27" formatCode="General">
                  <c:v>81.144300000000001</c:v>
                </c:pt>
                <c:pt idx="28" formatCode="General">
                  <c:v>80.578199999999995</c:v>
                </c:pt>
                <c:pt idx="29" formatCode="General">
                  <c:v>76.536000000000001</c:v>
                </c:pt>
                <c:pt idx="30" formatCode="General">
                  <c:v>81.992900000000006</c:v>
                </c:pt>
                <c:pt idx="31" formatCode="General">
                  <c:v>83.0471</c:v>
                </c:pt>
                <c:pt idx="32" formatCode="General">
                  <c:v>71.592299999999994</c:v>
                </c:pt>
                <c:pt idx="33" formatCode="General">
                  <c:v>63.799500000000002</c:v>
                </c:pt>
                <c:pt idx="34" formatCode="General">
                  <c:v>69.557299999999998</c:v>
                </c:pt>
                <c:pt idx="35" formatCode="General">
                  <c:v>63.021799999999999</c:v>
                </c:pt>
                <c:pt idx="36" formatCode="General">
                  <c:v>58.398699999999998</c:v>
                </c:pt>
                <c:pt idx="37" formatCode="General">
                  <c:v>76.352599999999995</c:v>
                </c:pt>
                <c:pt idx="38" formatCode="General">
                  <c:v>72.531099999999995</c:v>
                </c:pt>
                <c:pt idx="39" formatCode="General">
                  <c:v>61.438699999999997</c:v>
                </c:pt>
                <c:pt idx="40" formatCode="General">
                  <c:v>74.707099999999997</c:v>
                </c:pt>
                <c:pt idx="41" formatCode="General">
                  <c:v>80.505499999999998</c:v>
                </c:pt>
                <c:pt idx="42" formatCode="General">
                  <c:v>80.334400000000002</c:v>
                </c:pt>
                <c:pt idx="43" formatCode="General">
                  <c:v>82.923000000000002</c:v>
                </c:pt>
                <c:pt idx="44" formatCode="General">
                  <c:v>96.615700000000004</c:v>
                </c:pt>
                <c:pt idx="45" formatCode="General">
                  <c:v>89.374700000000004</c:v>
                </c:pt>
                <c:pt idx="46" formatCode="General">
                  <c:v>90.172300000000007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A24-432E-B1CE-F715B95751D7}"/>
            </c:ext>
          </c:extLst>
        </c:ser>
        <c:ser>
          <c:idx val="1"/>
          <c:order val="1"/>
          <c:tx>
            <c:strRef>
              <c:f>UCS!$K$1:$L$1</c:f>
              <c:strCache>
                <c:ptCount val="1"/>
                <c:pt idx="0">
                  <c:v>Post-Treatment - C3</c:v>
                </c:pt>
              </c:strCache>
            </c:strRef>
          </c:tx>
          <c:spPr>
            <a:ln w="25400" cap="rnd">
              <a:solidFill>
                <a:srgbClr val="17CF1B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UCS!$K$3:$K$49</c:f>
              <c:numCache>
                <c:formatCode>General</c:formatCode>
                <c:ptCount val="47"/>
                <c:pt idx="0">
                  <c:v>1778.5212999999999</c:v>
                </c:pt>
                <c:pt idx="1">
                  <c:v>1778.5235</c:v>
                </c:pt>
                <c:pt idx="2">
                  <c:v>1778.5255</c:v>
                </c:pt>
                <c:pt idx="3">
                  <c:v>1778.5274999999999</c:v>
                </c:pt>
                <c:pt idx="4">
                  <c:v>1778.5295000000001</c:v>
                </c:pt>
                <c:pt idx="5">
                  <c:v>1778.5315000000001</c:v>
                </c:pt>
                <c:pt idx="6">
                  <c:v>1778.5335</c:v>
                </c:pt>
                <c:pt idx="7">
                  <c:v>1778.5355</c:v>
                </c:pt>
                <c:pt idx="8">
                  <c:v>1778.5374999999999</c:v>
                </c:pt>
                <c:pt idx="9">
                  <c:v>1778.5395000000001</c:v>
                </c:pt>
                <c:pt idx="10">
                  <c:v>1778.5415</c:v>
                </c:pt>
                <c:pt idx="11">
                  <c:v>1778.5435</c:v>
                </c:pt>
                <c:pt idx="12">
                  <c:v>1778.5454999999999</c:v>
                </c:pt>
                <c:pt idx="13">
                  <c:v>1778.5474999999999</c:v>
                </c:pt>
                <c:pt idx="14">
                  <c:v>1778.5495000000001</c:v>
                </c:pt>
                <c:pt idx="15">
                  <c:v>1778.5515</c:v>
                </c:pt>
                <c:pt idx="16">
                  <c:v>1778.5535</c:v>
                </c:pt>
                <c:pt idx="17">
                  <c:v>1778.5554999999999</c:v>
                </c:pt>
                <c:pt idx="18">
                  <c:v>1778.5574999999999</c:v>
                </c:pt>
                <c:pt idx="19">
                  <c:v>1778.5595000000001</c:v>
                </c:pt>
                <c:pt idx="20">
                  <c:v>1778.5615</c:v>
                </c:pt>
                <c:pt idx="21">
                  <c:v>1778.5635</c:v>
                </c:pt>
                <c:pt idx="22">
                  <c:v>1778.5654999999999</c:v>
                </c:pt>
                <c:pt idx="23">
                  <c:v>1778.5674999999999</c:v>
                </c:pt>
                <c:pt idx="24">
                  <c:v>1778.5695000000001</c:v>
                </c:pt>
                <c:pt idx="25">
                  <c:v>1778.5715</c:v>
                </c:pt>
                <c:pt idx="26">
                  <c:v>1778.5735</c:v>
                </c:pt>
                <c:pt idx="27">
                  <c:v>1778.5754999999999</c:v>
                </c:pt>
                <c:pt idx="28">
                  <c:v>1778.5775000000001</c:v>
                </c:pt>
                <c:pt idx="29">
                  <c:v>1778.5795000000001</c:v>
                </c:pt>
                <c:pt idx="30">
                  <c:v>1778.5815</c:v>
                </c:pt>
                <c:pt idx="31">
                  <c:v>1778.5835</c:v>
                </c:pt>
                <c:pt idx="32">
                  <c:v>1778.5854999999999</c:v>
                </c:pt>
                <c:pt idx="33">
                  <c:v>1778.5875000000001</c:v>
                </c:pt>
                <c:pt idx="34">
                  <c:v>1778.5895</c:v>
                </c:pt>
                <c:pt idx="35">
                  <c:v>1778.5915</c:v>
                </c:pt>
                <c:pt idx="36">
                  <c:v>1778.5934999999999</c:v>
                </c:pt>
                <c:pt idx="37">
                  <c:v>1778.5954999999999</c:v>
                </c:pt>
                <c:pt idx="38">
                  <c:v>1778.5975000000001</c:v>
                </c:pt>
                <c:pt idx="39">
                  <c:v>1778.5995</c:v>
                </c:pt>
                <c:pt idx="40">
                  <c:v>1778.6015</c:v>
                </c:pt>
                <c:pt idx="41">
                  <c:v>1778.6034999999999</c:v>
                </c:pt>
                <c:pt idx="42">
                  <c:v>1778.6054999999999</c:v>
                </c:pt>
                <c:pt idx="43">
                  <c:v>1778.6075000000001</c:v>
                </c:pt>
                <c:pt idx="44">
                  <c:v>1778.6095</c:v>
                </c:pt>
                <c:pt idx="45">
                  <c:v>1778.6115</c:v>
                </c:pt>
                <c:pt idx="46">
                  <c:v>1778.6134999999999</c:v>
                </c:pt>
              </c:numCache>
            </c:numRef>
          </c:xVal>
          <c:yVal>
            <c:numRef>
              <c:f>UCS!$L$3:$L$49</c:f>
              <c:numCache>
                <c:formatCode>General</c:formatCode>
                <c:ptCount val="47"/>
                <c:pt idx="0">
                  <c:v>160.44999999999999</c:v>
                </c:pt>
                <c:pt idx="1">
                  <c:v>161.49700000000001</c:v>
                </c:pt>
                <c:pt idx="2">
                  <c:v>165.91800000000001</c:v>
                </c:pt>
                <c:pt idx="3">
                  <c:v>173.19399999999999</c:v>
                </c:pt>
                <c:pt idx="4">
                  <c:v>176.869</c:v>
                </c:pt>
                <c:pt idx="5">
                  <c:v>174.816</c:v>
                </c:pt>
                <c:pt idx="6">
                  <c:v>178.374</c:v>
                </c:pt>
                <c:pt idx="7">
                  <c:v>182.23500000000001</c:v>
                </c:pt>
                <c:pt idx="8">
                  <c:v>185.958</c:v>
                </c:pt>
                <c:pt idx="9">
                  <c:v>183.42</c:v>
                </c:pt>
                <c:pt idx="10">
                  <c:v>183.09</c:v>
                </c:pt>
                <c:pt idx="11">
                  <c:v>180.143</c:v>
                </c:pt>
                <c:pt idx="12">
                  <c:v>174.25899999999999</c:v>
                </c:pt>
                <c:pt idx="13">
                  <c:v>167.70500000000001</c:v>
                </c:pt>
                <c:pt idx="14">
                  <c:v>168.93199999999999</c:v>
                </c:pt>
                <c:pt idx="15">
                  <c:v>173.04300000000001</c:v>
                </c:pt>
                <c:pt idx="16">
                  <c:v>172.19300000000001</c:v>
                </c:pt>
                <c:pt idx="17">
                  <c:v>166.636</c:v>
                </c:pt>
                <c:pt idx="18">
                  <c:v>157.88300000000001</c:v>
                </c:pt>
                <c:pt idx="19">
                  <c:v>148.83000000000001</c:v>
                </c:pt>
                <c:pt idx="20">
                  <c:v>148.15799999999999</c:v>
                </c:pt>
                <c:pt idx="21">
                  <c:v>150.44300000000001</c:v>
                </c:pt>
                <c:pt idx="22">
                  <c:v>155.22200000000001</c:v>
                </c:pt>
                <c:pt idx="23">
                  <c:v>163.43700000000001</c:v>
                </c:pt>
                <c:pt idx="24">
                  <c:v>170.233</c:v>
                </c:pt>
                <c:pt idx="25">
                  <c:v>167.108</c:v>
                </c:pt>
                <c:pt idx="26">
                  <c:v>161.28700000000001</c:v>
                </c:pt>
                <c:pt idx="27">
                  <c:v>155.66399999999999</c:v>
                </c:pt>
                <c:pt idx="28">
                  <c:v>157.02199999999999</c:v>
                </c:pt>
                <c:pt idx="29">
                  <c:v>154.846</c:v>
                </c:pt>
                <c:pt idx="30">
                  <c:v>156.803</c:v>
                </c:pt>
                <c:pt idx="31">
                  <c:v>154.20699999999999</c:v>
                </c:pt>
                <c:pt idx="32">
                  <c:v>158.99700000000001</c:v>
                </c:pt>
                <c:pt idx="33">
                  <c:v>151.35599999999999</c:v>
                </c:pt>
                <c:pt idx="34">
                  <c:v>153.28299999999999</c:v>
                </c:pt>
                <c:pt idx="35">
                  <c:v>152.85300000000001</c:v>
                </c:pt>
                <c:pt idx="36">
                  <c:v>161.44999999999999</c:v>
                </c:pt>
                <c:pt idx="37">
                  <c:v>164.59399999999999</c:v>
                </c:pt>
                <c:pt idx="38">
                  <c:v>173.06100000000001</c:v>
                </c:pt>
                <c:pt idx="39">
                  <c:v>171.68600000000001</c:v>
                </c:pt>
                <c:pt idx="40">
                  <c:v>171.35400000000001</c:v>
                </c:pt>
                <c:pt idx="41">
                  <c:v>164.41800000000001</c:v>
                </c:pt>
                <c:pt idx="42">
                  <c:v>163.06399999999999</c:v>
                </c:pt>
                <c:pt idx="43">
                  <c:v>161.965</c:v>
                </c:pt>
                <c:pt idx="44">
                  <c:v>163.62899999999999</c:v>
                </c:pt>
                <c:pt idx="45">
                  <c:v>162.65899999999999</c:v>
                </c:pt>
                <c:pt idx="46">
                  <c:v>160.05699999999999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24-432E-B1CE-F715B9575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7521199"/>
        <c:axId val="881270671"/>
      </c:scatterChart>
      <c:valAx>
        <c:axId val="747521199"/>
        <c:scaling>
          <c:orientation val="minMax"/>
          <c:max val="1778.6399999999999"/>
          <c:min val="1778.52"/>
        </c:scaling>
        <c:delete val="0"/>
        <c:axPos val="b"/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70671"/>
        <c:crosses val="autoZero"/>
        <c:crossBetween val="midCat"/>
      </c:valAx>
      <c:valAx>
        <c:axId val="881270671"/>
        <c:scaling>
          <c:orientation val="minMax"/>
          <c:min val="40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752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Ks!$B$1</c:f>
              <c:strCache>
                <c:ptCount val="1"/>
                <c:pt idx="0">
                  <c:v>Pre-Treatment - C1</c:v>
                </c:pt>
              </c:strCache>
            </c:strRef>
          </c:tx>
          <c:spPr>
            <a:ln w="22225" cap="rnd">
              <a:solidFill>
                <a:srgbClr val="0067B4"/>
              </a:solidFill>
              <a:round/>
            </a:ln>
            <a:effectLst/>
          </c:spPr>
          <c:marker>
            <c:symbol val="none"/>
          </c:marker>
          <c:xVal>
            <c:numRef>
              <c:f>Ks!$B$3:$B$70</c:f>
              <c:numCache>
                <c:formatCode>General</c:formatCode>
                <c:ptCount val="68"/>
                <c:pt idx="0">
                  <c:v>1778.52</c:v>
                </c:pt>
                <c:pt idx="1">
                  <c:v>1778.52</c:v>
                </c:pt>
                <c:pt idx="2">
                  <c:v>1778.52</c:v>
                </c:pt>
                <c:pt idx="3">
                  <c:v>1778.53</c:v>
                </c:pt>
                <c:pt idx="4">
                  <c:v>1778.53</c:v>
                </c:pt>
                <c:pt idx="5">
                  <c:v>1778.53</c:v>
                </c:pt>
                <c:pt idx="6">
                  <c:v>1778.53</c:v>
                </c:pt>
                <c:pt idx="7">
                  <c:v>1778.53</c:v>
                </c:pt>
                <c:pt idx="8">
                  <c:v>1778.54</c:v>
                </c:pt>
                <c:pt idx="9">
                  <c:v>1778.54</c:v>
                </c:pt>
                <c:pt idx="10">
                  <c:v>1778.54</c:v>
                </c:pt>
                <c:pt idx="11">
                  <c:v>1778.54</c:v>
                </c:pt>
                <c:pt idx="12">
                  <c:v>1778.54</c:v>
                </c:pt>
                <c:pt idx="13">
                  <c:v>1778.55</c:v>
                </c:pt>
                <c:pt idx="14">
                  <c:v>1778.55</c:v>
                </c:pt>
                <c:pt idx="15">
                  <c:v>1778.55</c:v>
                </c:pt>
                <c:pt idx="16">
                  <c:v>1778.55</c:v>
                </c:pt>
                <c:pt idx="17">
                  <c:v>1778.55</c:v>
                </c:pt>
                <c:pt idx="18">
                  <c:v>1778.56</c:v>
                </c:pt>
                <c:pt idx="19">
                  <c:v>1778.56</c:v>
                </c:pt>
                <c:pt idx="20">
                  <c:v>1778.56</c:v>
                </c:pt>
                <c:pt idx="21">
                  <c:v>1778.56</c:v>
                </c:pt>
                <c:pt idx="22">
                  <c:v>1778.56</c:v>
                </c:pt>
                <c:pt idx="23">
                  <c:v>1778.57</c:v>
                </c:pt>
                <c:pt idx="24">
                  <c:v>1778.57</c:v>
                </c:pt>
                <c:pt idx="25">
                  <c:v>1778.57</c:v>
                </c:pt>
                <c:pt idx="26">
                  <c:v>1778.57</c:v>
                </c:pt>
                <c:pt idx="27">
                  <c:v>1778.57</c:v>
                </c:pt>
                <c:pt idx="28">
                  <c:v>1778.58</c:v>
                </c:pt>
                <c:pt idx="29">
                  <c:v>1778.58</c:v>
                </c:pt>
                <c:pt idx="30">
                  <c:v>1778.58</c:v>
                </c:pt>
                <c:pt idx="31">
                  <c:v>1778.58</c:v>
                </c:pt>
                <c:pt idx="32">
                  <c:v>1778.58</c:v>
                </c:pt>
                <c:pt idx="33">
                  <c:v>1778.59</c:v>
                </c:pt>
                <c:pt idx="34">
                  <c:v>1778.59</c:v>
                </c:pt>
                <c:pt idx="35">
                  <c:v>1778.59</c:v>
                </c:pt>
                <c:pt idx="36">
                  <c:v>1778.59</c:v>
                </c:pt>
                <c:pt idx="37">
                  <c:v>1778.59</c:v>
                </c:pt>
                <c:pt idx="38">
                  <c:v>1778.6</c:v>
                </c:pt>
                <c:pt idx="39">
                  <c:v>1778.6</c:v>
                </c:pt>
                <c:pt idx="40">
                  <c:v>1778.6</c:v>
                </c:pt>
                <c:pt idx="41">
                  <c:v>1778.6</c:v>
                </c:pt>
                <c:pt idx="42">
                  <c:v>1778.6</c:v>
                </c:pt>
                <c:pt idx="43">
                  <c:v>1778.61</c:v>
                </c:pt>
                <c:pt idx="44">
                  <c:v>1778.61</c:v>
                </c:pt>
                <c:pt idx="45">
                  <c:v>1778.61</c:v>
                </c:pt>
                <c:pt idx="46">
                  <c:v>1778.61</c:v>
                </c:pt>
                <c:pt idx="47">
                  <c:v>1778.61</c:v>
                </c:pt>
                <c:pt idx="48">
                  <c:v>1778.62</c:v>
                </c:pt>
                <c:pt idx="49">
                  <c:v>1778.62</c:v>
                </c:pt>
                <c:pt idx="50">
                  <c:v>1778.62</c:v>
                </c:pt>
                <c:pt idx="51">
                  <c:v>1778.62</c:v>
                </c:pt>
                <c:pt idx="52">
                  <c:v>1778.62</c:v>
                </c:pt>
                <c:pt idx="53">
                  <c:v>1778.6299999999999</c:v>
                </c:pt>
                <c:pt idx="54">
                  <c:v>1778.6299999999999</c:v>
                </c:pt>
                <c:pt idx="55">
                  <c:v>1778.6299999999999</c:v>
                </c:pt>
                <c:pt idx="56">
                  <c:v>1778.6299999999999</c:v>
                </c:pt>
                <c:pt idx="57">
                  <c:v>1778.6299999999999</c:v>
                </c:pt>
                <c:pt idx="58">
                  <c:v>1778.64</c:v>
                </c:pt>
                <c:pt idx="59">
                  <c:v>1778.64</c:v>
                </c:pt>
                <c:pt idx="60">
                  <c:v>1778.64</c:v>
                </c:pt>
                <c:pt idx="61">
                  <c:v>1778.64</c:v>
                </c:pt>
                <c:pt idx="62">
                  <c:v>1778.64</c:v>
                </c:pt>
              </c:numCache>
            </c:numRef>
          </c:xVal>
          <c:yVal>
            <c:numRef>
              <c:f>Ks!$F$3:$F$70</c:f>
              <c:numCache>
                <c:formatCode>0.000</c:formatCode>
                <c:ptCount val="68"/>
                <c:pt idx="0">
                  <c:v>2.1819999999999999</c:v>
                </c:pt>
                <c:pt idx="1">
                  <c:v>2.4539999999999997</c:v>
                </c:pt>
                <c:pt idx="2">
                  <c:v>2.5920000000000005</c:v>
                </c:pt>
                <c:pt idx="3">
                  <c:v>2.7379999999999995</c:v>
                </c:pt>
                <c:pt idx="4">
                  <c:v>2.8360000000000003</c:v>
                </c:pt>
                <c:pt idx="5">
                  <c:v>2.8139999999999996</c:v>
                </c:pt>
                <c:pt idx="6">
                  <c:v>2.9039999999999999</c:v>
                </c:pt>
                <c:pt idx="7">
                  <c:v>3.0220000000000002</c:v>
                </c:pt>
                <c:pt idx="8">
                  <c:v>3.0079999999999996</c:v>
                </c:pt>
                <c:pt idx="9">
                  <c:v>3.0520000000000005</c:v>
                </c:pt>
                <c:pt idx="10">
                  <c:v>2.9920000000000004</c:v>
                </c:pt>
                <c:pt idx="11">
                  <c:v>2.9660000000000002</c:v>
                </c:pt>
                <c:pt idx="12">
                  <c:v>3.0460000000000003</c:v>
                </c:pt>
                <c:pt idx="13">
                  <c:v>3.0520000000000005</c:v>
                </c:pt>
                <c:pt idx="14">
                  <c:v>2.964</c:v>
                </c:pt>
                <c:pt idx="15">
                  <c:v>3.1560000000000001</c:v>
                </c:pt>
                <c:pt idx="16">
                  <c:v>3.1520000000000006</c:v>
                </c:pt>
                <c:pt idx="17">
                  <c:v>3.09</c:v>
                </c:pt>
                <c:pt idx="18">
                  <c:v>3.05</c:v>
                </c:pt>
                <c:pt idx="19">
                  <c:v>3.0520000000000005</c:v>
                </c:pt>
                <c:pt idx="20">
                  <c:v>2.9539999999999997</c:v>
                </c:pt>
                <c:pt idx="21">
                  <c:v>3.0820000000000003</c:v>
                </c:pt>
                <c:pt idx="22">
                  <c:v>3.2120000000000006</c:v>
                </c:pt>
                <c:pt idx="23">
                  <c:v>3.3239999999999998</c:v>
                </c:pt>
                <c:pt idx="24">
                  <c:v>3.5179999999999993</c:v>
                </c:pt>
                <c:pt idx="25">
                  <c:v>3.6420000000000003</c:v>
                </c:pt>
                <c:pt idx="26">
                  <c:v>3.6239999999999997</c:v>
                </c:pt>
                <c:pt idx="27">
                  <c:v>3.5960000000000001</c:v>
                </c:pt>
                <c:pt idx="28">
                  <c:v>3.5</c:v>
                </c:pt>
                <c:pt idx="29">
                  <c:v>2.7779999999999996</c:v>
                </c:pt>
                <c:pt idx="30">
                  <c:v>1.9060000000000001</c:v>
                </c:pt>
                <c:pt idx="31">
                  <c:v>0.53200000000000047</c:v>
                </c:pt>
                <c:pt idx="32">
                  <c:v>0.27799999999999953</c:v>
                </c:pt>
                <c:pt idx="33">
                  <c:v>0.36600000000000021</c:v>
                </c:pt>
                <c:pt idx="34">
                  <c:v>0.96600000000000019</c:v>
                </c:pt>
                <c:pt idx="35">
                  <c:v>1.8039999999999998</c:v>
                </c:pt>
                <c:pt idx="36">
                  <c:v>3.15</c:v>
                </c:pt>
                <c:pt idx="37">
                  <c:v>3.3420000000000005</c:v>
                </c:pt>
                <c:pt idx="38">
                  <c:v>3.2620000000000005</c:v>
                </c:pt>
                <c:pt idx="39">
                  <c:v>3.2060000000000004</c:v>
                </c:pt>
                <c:pt idx="40">
                  <c:v>3.02</c:v>
                </c:pt>
                <c:pt idx="41">
                  <c:v>2.9279999999999995</c:v>
                </c:pt>
                <c:pt idx="42">
                  <c:v>2.87</c:v>
                </c:pt>
                <c:pt idx="43">
                  <c:v>2.6160000000000001</c:v>
                </c:pt>
                <c:pt idx="44">
                  <c:v>2.6420000000000003</c:v>
                </c:pt>
                <c:pt idx="45">
                  <c:v>2.7960000000000003</c:v>
                </c:pt>
                <c:pt idx="46">
                  <c:v>2.77</c:v>
                </c:pt>
                <c:pt idx="47">
                  <c:v>2.7379999999999995</c:v>
                </c:pt>
                <c:pt idx="48">
                  <c:v>3.0520000000000005</c:v>
                </c:pt>
                <c:pt idx="49">
                  <c:v>3.1220000000000003</c:v>
                </c:pt>
                <c:pt idx="50">
                  <c:v>3.1260000000000003</c:v>
                </c:pt>
                <c:pt idx="51">
                  <c:v>3.1520000000000006</c:v>
                </c:pt>
                <c:pt idx="52">
                  <c:v>2.9620000000000006</c:v>
                </c:pt>
                <c:pt idx="53">
                  <c:v>2.8679999999999994</c:v>
                </c:pt>
                <c:pt idx="54">
                  <c:v>2.84</c:v>
                </c:pt>
                <c:pt idx="55">
                  <c:v>2.8360000000000003</c:v>
                </c:pt>
                <c:pt idx="56">
                  <c:v>2.7220000000000004</c:v>
                </c:pt>
                <c:pt idx="57">
                  <c:v>2.71</c:v>
                </c:pt>
                <c:pt idx="58">
                  <c:v>2.6479999999999997</c:v>
                </c:pt>
                <c:pt idx="59">
                  <c:v>2.64</c:v>
                </c:pt>
                <c:pt idx="60">
                  <c:v>2.5660000000000003</c:v>
                </c:pt>
                <c:pt idx="61">
                  <c:v>2.5960000000000001</c:v>
                </c:pt>
                <c:pt idx="62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1-42AA-8375-0DD41E687A76}"/>
            </c:ext>
          </c:extLst>
        </c:ser>
        <c:ser>
          <c:idx val="1"/>
          <c:order val="1"/>
          <c:tx>
            <c:strRef>
              <c:f>Ks!$J$1</c:f>
              <c:strCache>
                <c:ptCount val="1"/>
                <c:pt idx="0">
                  <c:v>Post-Treatment - C1</c:v>
                </c:pt>
              </c:strCache>
            </c:strRef>
          </c:tx>
          <c:spPr>
            <a:ln w="22225" cap="rnd">
              <a:solidFill>
                <a:srgbClr val="17CF1B"/>
              </a:solidFill>
              <a:round/>
            </a:ln>
            <a:effectLst/>
          </c:spPr>
          <c:marker>
            <c:symbol val="none"/>
          </c:marker>
          <c:xVal>
            <c:numRef>
              <c:f>Ks!$J$3:$J$70</c:f>
              <c:numCache>
                <c:formatCode>General</c:formatCode>
                <c:ptCount val="68"/>
                <c:pt idx="0">
                  <c:v>1778.52</c:v>
                </c:pt>
                <c:pt idx="1">
                  <c:v>1778.52</c:v>
                </c:pt>
                <c:pt idx="2">
                  <c:v>1778.52</c:v>
                </c:pt>
                <c:pt idx="3">
                  <c:v>1778.53</c:v>
                </c:pt>
                <c:pt idx="4">
                  <c:v>1778.53</c:v>
                </c:pt>
                <c:pt idx="5">
                  <c:v>1778.53</c:v>
                </c:pt>
                <c:pt idx="6">
                  <c:v>1778.53</c:v>
                </c:pt>
                <c:pt idx="7">
                  <c:v>1778.53</c:v>
                </c:pt>
                <c:pt idx="8">
                  <c:v>1778.54</c:v>
                </c:pt>
                <c:pt idx="9">
                  <c:v>1778.54</c:v>
                </c:pt>
                <c:pt idx="10">
                  <c:v>1778.54</c:v>
                </c:pt>
                <c:pt idx="11">
                  <c:v>1778.54</c:v>
                </c:pt>
                <c:pt idx="12">
                  <c:v>1778.54</c:v>
                </c:pt>
                <c:pt idx="13">
                  <c:v>1778.55</c:v>
                </c:pt>
                <c:pt idx="14">
                  <c:v>1778.55</c:v>
                </c:pt>
                <c:pt idx="15">
                  <c:v>1778.55</c:v>
                </c:pt>
                <c:pt idx="16">
                  <c:v>1778.55</c:v>
                </c:pt>
                <c:pt idx="17">
                  <c:v>1778.55</c:v>
                </c:pt>
                <c:pt idx="18">
                  <c:v>1778.56</c:v>
                </c:pt>
                <c:pt idx="19">
                  <c:v>1778.56</c:v>
                </c:pt>
                <c:pt idx="20">
                  <c:v>1778.56</c:v>
                </c:pt>
                <c:pt idx="21">
                  <c:v>1778.56</c:v>
                </c:pt>
                <c:pt idx="22">
                  <c:v>1778.56</c:v>
                </c:pt>
                <c:pt idx="23">
                  <c:v>1778.57</c:v>
                </c:pt>
                <c:pt idx="24">
                  <c:v>1778.57</c:v>
                </c:pt>
                <c:pt idx="25">
                  <c:v>1778.57</c:v>
                </c:pt>
                <c:pt idx="26">
                  <c:v>1778.57</c:v>
                </c:pt>
                <c:pt idx="27">
                  <c:v>1778.57</c:v>
                </c:pt>
                <c:pt idx="28">
                  <c:v>1778.58</c:v>
                </c:pt>
                <c:pt idx="29">
                  <c:v>1778.58</c:v>
                </c:pt>
                <c:pt idx="30">
                  <c:v>1778.58</c:v>
                </c:pt>
                <c:pt idx="31">
                  <c:v>1778.58</c:v>
                </c:pt>
                <c:pt idx="32">
                  <c:v>1778.58</c:v>
                </c:pt>
                <c:pt idx="33">
                  <c:v>1778.59</c:v>
                </c:pt>
                <c:pt idx="34">
                  <c:v>1778.59</c:v>
                </c:pt>
                <c:pt idx="35">
                  <c:v>1778.59</c:v>
                </c:pt>
                <c:pt idx="36">
                  <c:v>1778.59</c:v>
                </c:pt>
                <c:pt idx="37">
                  <c:v>1778.59</c:v>
                </c:pt>
                <c:pt idx="38">
                  <c:v>1778.6</c:v>
                </c:pt>
                <c:pt idx="39">
                  <c:v>1778.6</c:v>
                </c:pt>
                <c:pt idx="40">
                  <c:v>1778.6</c:v>
                </c:pt>
                <c:pt idx="41">
                  <c:v>1778.6</c:v>
                </c:pt>
                <c:pt idx="42">
                  <c:v>1778.6</c:v>
                </c:pt>
                <c:pt idx="43">
                  <c:v>1778.61</c:v>
                </c:pt>
                <c:pt idx="44">
                  <c:v>1778.61</c:v>
                </c:pt>
                <c:pt idx="45">
                  <c:v>1778.61</c:v>
                </c:pt>
                <c:pt idx="46">
                  <c:v>1778.61</c:v>
                </c:pt>
                <c:pt idx="47">
                  <c:v>1778.61</c:v>
                </c:pt>
                <c:pt idx="48">
                  <c:v>1778.62</c:v>
                </c:pt>
                <c:pt idx="49">
                  <c:v>1778.62</c:v>
                </c:pt>
                <c:pt idx="50">
                  <c:v>1778.62</c:v>
                </c:pt>
                <c:pt idx="51">
                  <c:v>1778.62</c:v>
                </c:pt>
                <c:pt idx="52">
                  <c:v>1778.62</c:v>
                </c:pt>
                <c:pt idx="53">
                  <c:v>1778.6299999999999</c:v>
                </c:pt>
                <c:pt idx="54">
                  <c:v>1778.6299999999999</c:v>
                </c:pt>
                <c:pt idx="55">
                  <c:v>1778.6299999999999</c:v>
                </c:pt>
                <c:pt idx="56">
                  <c:v>1778.6299999999999</c:v>
                </c:pt>
                <c:pt idx="57">
                  <c:v>1778.6299999999999</c:v>
                </c:pt>
                <c:pt idx="58">
                  <c:v>1778.64</c:v>
                </c:pt>
                <c:pt idx="59">
                  <c:v>1778.64</c:v>
                </c:pt>
                <c:pt idx="60">
                  <c:v>1778.64</c:v>
                </c:pt>
                <c:pt idx="61">
                  <c:v>1778.64</c:v>
                </c:pt>
                <c:pt idx="62">
                  <c:v>1778.64</c:v>
                </c:pt>
              </c:numCache>
            </c:numRef>
          </c:xVal>
          <c:yVal>
            <c:numRef>
              <c:f>Ks!$N$3:$N$70</c:f>
              <c:numCache>
                <c:formatCode>0.000</c:formatCode>
                <c:ptCount val="68"/>
                <c:pt idx="0">
                  <c:v>7.984</c:v>
                </c:pt>
                <c:pt idx="1">
                  <c:v>8.1039999999999992</c:v>
                </c:pt>
                <c:pt idx="2">
                  <c:v>8.0120000000000005</c:v>
                </c:pt>
                <c:pt idx="3">
                  <c:v>8.1059999999999999</c:v>
                </c:pt>
                <c:pt idx="4">
                  <c:v>8.2759999999999998</c:v>
                </c:pt>
                <c:pt idx="5">
                  <c:v>8.3179999999999996</c:v>
                </c:pt>
                <c:pt idx="6">
                  <c:v>8.3379999999999992</c:v>
                </c:pt>
                <c:pt idx="7">
                  <c:v>8.5279999999999987</c:v>
                </c:pt>
                <c:pt idx="8">
                  <c:v>8.5</c:v>
                </c:pt>
                <c:pt idx="9">
                  <c:v>8.4120000000000008</c:v>
                </c:pt>
                <c:pt idx="10">
                  <c:v>8.3460000000000001</c:v>
                </c:pt>
                <c:pt idx="11">
                  <c:v>8.427999999999999</c:v>
                </c:pt>
                <c:pt idx="12">
                  <c:v>8.3179999999999996</c:v>
                </c:pt>
                <c:pt idx="13">
                  <c:v>8.3539999999999992</c:v>
                </c:pt>
                <c:pt idx="14">
                  <c:v>8.4979999999999993</c:v>
                </c:pt>
                <c:pt idx="15">
                  <c:v>8.6839999999999993</c:v>
                </c:pt>
                <c:pt idx="16">
                  <c:v>8.718</c:v>
                </c:pt>
                <c:pt idx="17">
                  <c:v>8.8460000000000001</c:v>
                </c:pt>
                <c:pt idx="18">
                  <c:v>9.0380000000000003</c:v>
                </c:pt>
                <c:pt idx="19">
                  <c:v>9.1059999999999999</c:v>
                </c:pt>
                <c:pt idx="20">
                  <c:v>9.02</c:v>
                </c:pt>
                <c:pt idx="21">
                  <c:v>8.8279999999999994</c:v>
                </c:pt>
                <c:pt idx="22">
                  <c:v>8.8140000000000001</c:v>
                </c:pt>
                <c:pt idx="23">
                  <c:v>8.7080000000000002</c:v>
                </c:pt>
                <c:pt idx="24">
                  <c:v>8.5459999999999994</c:v>
                </c:pt>
                <c:pt idx="25">
                  <c:v>8.4979999999999993</c:v>
                </c:pt>
                <c:pt idx="26">
                  <c:v>8.7240000000000002</c:v>
                </c:pt>
                <c:pt idx="27">
                  <c:v>8.6120000000000001</c:v>
                </c:pt>
                <c:pt idx="28">
                  <c:v>8.427999999999999</c:v>
                </c:pt>
                <c:pt idx="29">
                  <c:v>8.3979999999999997</c:v>
                </c:pt>
                <c:pt idx="30">
                  <c:v>8.3460000000000001</c:v>
                </c:pt>
                <c:pt idx="31">
                  <c:v>8.0079999999999991</c:v>
                </c:pt>
                <c:pt idx="32">
                  <c:v>7.9740000000000002</c:v>
                </c:pt>
                <c:pt idx="33">
                  <c:v>8.0220000000000002</c:v>
                </c:pt>
                <c:pt idx="34">
                  <c:v>7.9879999999999995</c:v>
                </c:pt>
                <c:pt idx="35">
                  <c:v>8.136000000000001</c:v>
                </c:pt>
                <c:pt idx="36">
                  <c:v>8.5060000000000002</c:v>
                </c:pt>
                <c:pt idx="37">
                  <c:v>8.6739999999999995</c:v>
                </c:pt>
                <c:pt idx="38">
                  <c:v>8.847999999999999</c:v>
                </c:pt>
                <c:pt idx="39">
                  <c:v>8.83</c:v>
                </c:pt>
                <c:pt idx="40">
                  <c:v>8.7779999999999987</c:v>
                </c:pt>
                <c:pt idx="41">
                  <c:v>8.3019999999999996</c:v>
                </c:pt>
                <c:pt idx="42">
                  <c:v>8.3960000000000008</c:v>
                </c:pt>
                <c:pt idx="43">
                  <c:v>8.3960000000000008</c:v>
                </c:pt>
                <c:pt idx="44">
                  <c:v>8.5220000000000002</c:v>
                </c:pt>
                <c:pt idx="45">
                  <c:v>8.5579999999999998</c:v>
                </c:pt>
                <c:pt idx="46">
                  <c:v>9.0239999999999991</c:v>
                </c:pt>
                <c:pt idx="47">
                  <c:v>8.9260000000000002</c:v>
                </c:pt>
                <c:pt idx="48">
                  <c:v>8.8079999999999998</c:v>
                </c:pt>
                <c:pt idx="49">
                  <c:v>8.8579999999999988</c:v>
                </c:pt>
                <c:pt idx="50">
                  <c:v>8.8719999999999999</c:v>
                </c:pt>
                <c:pt idx="51">
                  <c:v>8.9619999999999997</c:v>
                </c:pt>
                <c:pt idx="52">
                  <c:v>9.0179999999999989</c:v>
                </c:pt>
                <c:pt idx="53">
                  <c:v>9.14</c:v>
                </c:pt>
                <c:pt idx="54">
                  <c:v>9.1879999999999988</c:v>
                </c:pt>
                <c:pt idx="55">
                  <c:v>9.1950000000000003</c:v>
                </c:pt>
                <c:pt idx="56">
                  <c:v>9.1240000000000006</c:v>
                </c:pt>
                <c:pt idx="57">
                  <c:v>9.1920000000000002</c:v>
                </c:pt>
                <c:pt idx="58">
                  <c:v>9.1939999999999991</c:v>
                </c:pt>
                <c:pt idx="59">
                  <c:v>9.1820000000000004</c:v>
                </c:pt>
                <c:pt idx="60">
                  <c:v>9.0419999999999998</c:v>
                </c:pt>
                <c:pt idx="61">
                  <c:v>8.5060000000000002</c:v>
                </c:pt>
                <c:pt idx="62">
                  <c:v>8.0359999999999996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B1-42AA-8375-0DD41E68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valAx>
        <c:axId val="667332303"/>
        <c:scaling>
          <c:orientation val="minMax"/>
          <c:max val="1778.6399999999999"/>
          <c:min val="1778.5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Ks!$R$1</c:f>
              <c:strCache>
                <c:ptCount val="1"/>
                <c:pt idx="0">
                  <c:v>Pre-Treatment - C2</c:v>
                </c:pt>
              </c:strCache>
            </c:strRef>
          </c:tx>
          <c:spPr>
            <a:ln w="22225" cap="rnd">
              <a:solidFill>
                <a:srgbClr val="0067B4"/>
              </a:solidFill>
              <a:round/>
            </a:ln>
            <a:effectLst/>
          </c:spPr>
          <c:marker>
            <c:symbol val="none"/>
          </c:marker>
          <c:xVal>
            <c:numRef>
              <c:f>Ks!$R$3:$R$63</c:f>
              <c:numCache>
                <c:formatCode>General</c:formatCode>
                <c:ptCount val="61"/>
                <c:pt idx="0">
                  <c:v>1778.52</c:v>
                </c:pt>
                <c:pt idx="1">
                  <c:v>1778.52</c:v>
                </c:pt>
                <c:pt idx="2">
                  <c:v>1778.52</c:v>
                </c:pt>
                <c:pt idx="3">
                  <c:v>1778.52</c:v>
                </c:pt>
                <c:pt idx="4">
                  <c:v>1778.53</c:v>
                </c:pt>
                <c:pt idx="5">
                  <c:v>1778.53</c:v>
                </c:pt>
                <c:pt idx="6">
                  <c:v>1778.53</c:v>
                </c:pt>
                <c:pt idx="7">
                  <c:v>1778.53</c:v>
                </c:pt>
                <c:pt idx="8">
                  <c:v>1778.53</c:v>
                </c:pt>
                <c:pt idx="9">
                  <c:v>1778.54</c:v>
                </c:pt>
                <c:pt idx="10">
                  <c:v>1778.54</c:v>
                </c:pt>
                <c:pt idx="11">
                  <c:v>1778.54</c:v>
                </c:pt>
                <c:pt idx="12">
                  <c:v>1778.54</c:v>
                </c:pt>
                <c:pt idx="13">
                  <c:v>1778.54</c:v>
                </c:pt>
                <c:pt idx="14">
                  <c:v>1778.55</c:v>
                </c:pt>
                <c:pt idx="15">
                  <c:v>1778.55</c:v>
                </c:pt>
                <c:pt idx="16">
                  <c:v>1778.55</c:v>
                </c:pt>
                <c:pt idx="17">
                  <c:v>1778.55</c:v>
                </c:pt>
                <c:pt idx="18">
                  <c:v>1778.55</c:v>
                </c:pt>
                <c:pt idx="19">
                  <c:v>1778.56</c:v>
                </c:pt>
                <c:pt idx="20">
                  <c:v>1778.56</c:v>
                </c:pt>
                <c:pt idx="21">
                  <c:v>1778.56</c:v>
                </c:pt>
                <c:pt idx="22">
                  <c:v>1778.56</c:v>
                </c:pt>
                <c:pt idx="23">
                  <c:v>1778.56</c:v>
                </c:pt>
                <c:pt idx="24">
                  <c:v>1778.57</c:v>
                </c:pt>
                <c:pt idx="25">
                  <c:v>1778.57</c:v>
                </c:pt>
                <c:pt idx="26">
                  <c:v>1778.57</c:v>
                </c:pt>
                <c:pt idx="27">
                  <c:v>1778.57</c:v>
                </c:pt>
                <c:pt idx="28">
                  <c:v>1778.57</c:v>
                </c:pt>
                <c:pt idx="29">
                  <c:v>1778.58</c:v>
                </c:pt>
                <c:pt idx="30">
                  <c:v>1778.58</c:v>
                </c:pt>
                <c:pt idx="31">
                  <c:v>1778.58</c:v>
                </c:pt>
                <c:pt idx="32">
                  <c:v>1778.58</c:v>
                </c:pt>
                <c:pt idx="33">
                  <c:v>1778.58</c:v>
                </c:pt>
                <c:pt idx="34">
                  <c:v>1778.59</c:v>
                </c:pt>
                <c:pt idx="35">
                  <c:v>1778.59</c:v>
                </c:pt>
                <c:pt idx="36">
                  <c:v>1778.59</c:v>
                </c:pt>
                <c:pt idx="37">
                  <c:v>1778.59</c:v>
                </c:pt>
                <c:pt idx="38">
                  <c:v>1778.59</c:v>
                </c:pt>
                <c:pt idx="39">
                  <c:v>1778.6</c:v>
                </c:pt>
                <c:pt idx="40">
                  <c:v>1778.6</c:v>
                </c:pt>
                <c:pt idx="41">
                  <c:v>1778.6</c:v>
                </c:pt>
                <c:pt idx="42">
                  <c:v>1778.6</c:v>
                </c:pt>
                <c:pt idx="43">
                  <c:v>1778.6</c:v>
                </c:pt>
                <c:pt idx="44">
                  <c:v>1778.61</c:v>
                </c:pt>
                <c:pt idx="45">
                  <c:v>1778.61</c:v>
                </c:pt>
                <c:pt idx="46">
                  <c:v>1778.61</c:v>
                </c:pt>
                <c:pt idx="47">
                  <c:v>1778.61</c:v>
                </c:pt>
                <c:pt idx="48">
                  <c:v>1778.61</c:v>
                </c:pt>
                <c:pt idx="49">
                  <c:v>1778.62</c:v>
                </c:pt>
                <c:pt idx="50">
                  <c:v>1778.62</c:v>
                </c:pt>
                <c:pt idx="51">
                  <c:v>1778.62</c:v>
                </c:pt>
                <c:pt idx="52">
                  <c:v>1778.62</c:v>
                </c:pt>
                <c:pt idx="53">
                  <c:v>1778.62</c:v>
                </c:pt>
                <c:pt idx="54">
                  <c:v>1778.6299999999999</c:v>
                </c:pt>
                <c:pt idx="55">
                  <c:v>1778.6299999999999</c:v>
                </c:pt>
                <c:pt idx="56">
                  <c:v>1778.6299999999999</c:v>
                </c:pt>
                <c:pt idx="57">
                  <c:v>1778.6299999999999</c:v>
                </c:pt>
                <c:pt idx="58">
                  <c:v>1778.6299999999999</c:v>
                </c:pt>
                <c:pt idx="59">
                  <c:v>1778.64</c:v>
                </c:pt>
                <c:pt idx="60">
                  <c:v>1778.64</c:v>
                </c:pt>
              </c:numCache>
            </c:numRef>
          </c:xVal>
          <c:yVal>
            <c:numRef>
              <c:f>Ks!$V$3:$V$63</c:f>
              <c:numCache>
                <c:formatCode>0.000</c:formatCode>
                <c:ptCount val="61"/>
                <c:pt idx="0">
                  <c:v>3.43</c:v>
                </c:pt>
                <c:pt idx="1">
                  <c:v>3.7880000000000003</c:v>
                </c:pt>
                <c:pt idx="2">
                  <c:v>3.8039999999999998</c:v>
                </c:pt>
                <c:pt idx="3">
                  <c:v>3.6360000000000001</c:v>
                </c:pt>
                <c:pt idx="4">
                  <c:v>3.5419999999999998</c:v>
                </c:pt>
                <c:pt idx="5">
                  <c:v>3.4339999999999997</c:v>
                </c:pt>
                <c:pt idx="6">
                  <c:v>3.1960000000000002</c:v>
                </c:pt>
                <c:pt idx="7">
                  <c:v>3.06</c:v>
                </c:pt>
                <c:pt idx="8">
                  <c:v>2.92</c:v>
                </c:pt>
                <c:pt idx="9">
                  <c:v>2.6039999999999996</c:v>
                </c:pt>
                <c:pt idx="10">
                  <c:v>2.39</c:v>
                </c:pt>
                <c:pt idx="11">
                  <c:v>2.2680000000000002</c:v>
                </c:pt>
                <c:pt idx="12">
                  <c:v>2.1819999999999999</c:v>
                </c:pt>
                <c:pt idx="13">
                  <c:v>2.0659999999999998</c:v>
                </c:pt>
                <c:pt idx="14">
                  <c:v>2.0760000000000001</c:v>
                </c:pt>
                <c:pt idx="15">
                  <c:v>1.9880000000000002</c:v>
                </c:pt>
                <c:pt idx="16">
                  <c:v>1.9188000000000001</c:v>
                </c:pt>
                <c:pt idx="17">
                  <c:v>1.8874000000000002</c:v>
                </c:pt>
                <c:pt idx="18">
                  <c:v>1.9647999999999999</c:v>
                </c:pt>
                <c:pt idx="19">
                  <c:v>2.0099999999999998</c:v>
                </c:pt>
                <c:pt idx="20">
                  <c:v>1.9702000000000002</c:v>
                </c:pt>
                <c:pt idx="21">
                  <c:v>1.915</c:v>
                </c:pt>
                <c:pt idx="22">
                  <c:v>1.8908</c:v>
                </c:pt>
                <c:pt idx="23">
                  <c:v>1.7136000000000002</c:v>
                </c:pt>
                <c:pt idx="24">
                  <c:v>1.65</c:v>
                </c:pt>
                <c:pt idx="25">
                  <c:v>1.736</c:v>
                </c:pt>
                <c:pt idx="26">
                  <c:v>2.02</c:v>
                </c:pt>
                <c:pt idx="27">
                  <c:v>1.9653999999999998</c:v>
                </c:pt>
                <c:pt idx="28">
                  <c:v>1.9863999999999999</c:v>
                </c:pt>
                <c:pt idx="29">
                  <c:v>2.024</c:v>
                </c:pt>
                <c:pt idx="30">
                  <c:v>2.036</c:v>
                </c:pt>
                <c:pt idx="31">
                  <c:v>1.9412</c:v>
                </c:pt>
                <c:pt idx="32">
                  <c:v>2.0920000000000001</c:v>
                </c:pt>
                <c:pt idx="33">
                  <c:v>2.302</c:v>
                </c:pt>
                <c:pt idx="34">
                  <c:v>2.4159999999999999</c:v>
                </c:pt>
                <c:pt idx="35">
                  <c:v>2.4659999999999997</c:v>
                </c:pt>
                <c:pt idx="36">
                  <c:v>2.46</c:v>
                </c:pt>
                <c:pt idx="37">
                  <c:v>2.2799999999999998</c:v>
                </c:pt>
                <c:pt idx="38">
                  <c:v>1.9206000000000001</c:v>
                </c:pt>
                <c:pt idx="39">
                  <c:v>1.4531999999999998</c:v>
                </c:pt>
                <c:pt idx="40">
                  <c:v>1.0564</c:v>
                </c:pt>
                <c:pt idx="41">
                  <c:v>0.86360000000000003</c:v>
                </c:pt>
                <c:pt idx="42">
                  <c:v>0.8276</c:v>
                </c:pt>
                <c:pt idx="43">
                  <c:v>0.88800000000000001</c:v>
                </c:pt>
                <c:pt idx="44">
                  <c:v>1.0595999999999999</c:v>
                </c:pt>
                <c:pt idx="45">
                  <c:v>1.1379999999999999</c:v>
                </c:pt>
                <c:pt idx="46">
                  <c:v>0.99379999999999991</c:v>
                </c:pt>
                <c:pt idx="47">
                  <c:v>1.0107999999999999</c:v>
                </c:pt>
                <c:pt idx="48">
                  <c:v>1.1898</c:v>
                </c:pt>
                <c:pt idx="49">
                  <c:v>1.4368000000000001</c:v>
                </c:pt>
                <c:pt idx="50">
                  <c:v>1.6994</c:v>
                </c:pt>
                <c:pt idx="51">
                  <c:v>2.0780000000000003</c:v>
                </c:pt>
                <c:pt idx="52">
                  <c:v>2.4780000000000002</c:v>
                </c:pt>
                <c:pt idx="53">
                  <c:v>2.806</c:v>
                </c:pt>
                <c:pt idx="54">
                  <c:v>3.0960000000000001</c:v>
                </c:pt>
                <c:pt idx="55">
                  <c:v>3.262</c:v>
                </c:pt>
                <c:pt idx="56">
                  <c:v>3.22</c:v>
                </c:pt>
                <c:pt idx="57">
                  <c:v>3.1180000000000003</c:v>
                </c:pt>
                <c:pt idx="58">
                  <c:v>3.0260000000000002</c:v>
                </c:pt>
                <c:pt idx="59">
                  <c:v>2.802</c:v>
                </c:pt>
                <c:pt idx="60">
                  <c:v>2.6779999999999999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C-4155-9DE8-EEF78DDCEF33}"/>
            </c:ext>
          </c:extLst>
        </c:ser>
        <c:ser>
          <c:idx val="1"/>
          <c:order val="1"/>
          <c:tx>
            <c:strRef>
              <c:f>Ks!$Z$1</c:f>
              <c:strCache>
                <c:ptCount val="1"/>
                <c:pt idx="0">
                  <c:v>Post-Treatment - C2</c:v>
                </c:pt>
              </c:strCache>
            </c:strRef>
          </c:tx>
          <c:spPr>
            <a:ln w="22225" cap="rnd">
              <a:solidFill>
                <a:srgbClr val="17CF1B"/>
              </a:solidFill>
              <a:round/>
            </a:ln>
            <a:effectLst/>
          </c:spPr>
          <c:marker>
            <c:symbol val="none"/>
          </c:marker>
          <c:xVal>
            <c:numRef>
              <c:f>Ks!$Z$3:$Z$63</c:f>
              <c:numCache>
                <c:formatCode>General</c:formatCode>
                <c:ptCount val="61"/>
                <c:pt idx="0">
                  <c:v>1778.52</c:v>
                </c:pt>
                <c:pt idx="1">
                  <c:v>1778.52</c:v>
                </c:pt>
                <c:pt idx="2">
                  <c:v>1778.52</c:v>
                </c:pt>
                <c:pt idx="3">
                  <c:v>1778.52</c:v>
                </c:pt>
                <c:pt idx="4">
                  <c:v>1778.53</c:v>
                </c:pt>
                <c:pt idx="5">
                  <c:v>1778.53</c:v>
                </c:pt>
                <c:pt idx="6">
                  <c:v>1778.53</c:v>
                </c:pt>
                <c:pt idx="7">
                  <c:v>1778.53</c:v>
                </c:pt>
                <c:pt idx="8">
                  <c:v>1778.53</c:v>
                </c:pt>
                <c:pt idx="9">
                  <c:v>1778.54</c:v>
                </c:pt>
                <c:pt idx="10">
                  <c:v>1778.54</c:v>
                </c:pt>
                <c:pt idx="11">
                  <c:v>1778.54</c:v>
                </c:pt>
                <c:pt idx="12">
                  <c:v>1778.54</c:v>
                </c:pt>
                <c:pt idx="13">
                  <c:v>1778.54</c:v>
                </c:pt>
                <c:pt idx="14">
                  <c:v>1778.55</c:v>
                </c:pt>
                <c:pt idx="15">
                  <c:v>1778.55</c:v>
                </c:pt>
                <c:pt idx="16">
                  <c:v>1778.55</c:v>
                </c:pt>
                <c:pt idx="17">
                  <c:v>1778.55</c:v>
                </c:pt>
                <c:pt idx="18">
                  <c:v>1778.55</c:v>
                </c:pt>
                <c:pt idx="19">
                  <c:v>1778.56</c:v>
                </c:pt>
                <c:pt idx="20">
                  <c:v>1778.56</c:v>
                </c:pt>
                <c:pt idx="21">
                  <c:v>1778.56</c:v>
                </c:pt>
                <c:pt idx="22">
                  <c:v>1778.56</c:v>
                </c:pt>
                <c:pt idx="23">
                  <c:v>1778.56</c:v>
                </c:pt>
                <c:pt idx="24">
                  <c:v>1778.57</c:v>
                </c:pt>
                <c:pt idx="25">
                  <c:v>1778.57</c:v>
                </c:pt>
                <c:pt idx="26">
                  <c:v>1778.57</c:v>
                </c:pt>
                <c:pt idx="27">
                  <c:v>1778.57</c:v>
                </c:pt>
                <c:pt idx="28">
                  <c:v>1778.57</c:v>
                </c:pt>
                <c:pt idx="29">
                  <c:v>1778.58</c:v>
                </c:pt>
                <c:pt idx="30">
                  <c:v>1778.58</c:v>
                </c:pt>
                <c:pt idx="31">
                  <c:v>1778.58</c:v>
                </c:pt>
                <c:pt idx="32">
                  <c:v>1778.58</c:v>
                </c:pt>
                <c:pt idx="33">
                  <c:v>1778.58</c:v>
                </c:pt>
                <c:pt idx="34">
                  <c:v>1778.59</c:v>
                </c:pt>
                <c:pt idx="35">
                  <c:v>1778.59</c:v>
                </c:pt>
                <c:pt idx="36">
                  <c:v>1778.59</c:v>
                </c:pt>
                <c:pt idx="37">
                  <c:v>1778.59</c:v>
                </c:pt>
                <c:pt idx="38">
                  <c:v>1778.59</c:v>
                </c:pt>
                <c:pt idx="39">
                  <c:v>1778.6</c:v>
                </c:pt>
                <c:pt idx="40">
                  <c:v>1778.6</c:v>
                </c:pt>
                <c:pt idx="41">
                  <c:v>1778.6</c:v>
                </c:pt>
                <c:pt idx="42">
                  <c:v>1778.6</c:v>
                </c:pt>
                <c:pt idx="43">
                  <c:v>1778.6</c:v>
                </c:pt>
                <c:pt idx="44">
                  <c:v>1778.61</c:v>
                </c:pt>
                <c:pt idx="45">
                  <c:v>1778.61</c:v>
                </c:pt>
                <c:pt idx="46">
                  <c:v>1778.61</c:v>
                </c:pt>
                <c:pt idx="47">
                  <c:v>1778.61</c:v>
                </c:pt>
                <c:pt idx="48">
                  <c:v>1778.61</c:v>
                </c:pt>
                <c:pt idx="49">
                  <c:v>1778.62</c:v>
                </c:pt>
                <c:pt idx="50">
                  <c:v>1778.62</c:v>
                </c:pt>
                <c:pt idx="51">
                  <c:v>1778.62</c:v>
                </c:pt>
                <c:pt idx="52">
                  <c:v>1778.62</c:v>
                </c:pt>
                <c:pt idx="53">
                  <c:v>1778.62</c:v>
                </c:pt>
                <c:pt idx="54">
                  <c:v>1778.6299999999999</c:v>
                </c:pt>
                <c:pt idx="55">
                  <c:v>1778.6299999999999</c:v>
                </c:pt>
                <c:pt idx="56">
                  <c:v>1778.6299999999999</c:v>
                </c:pt>
                <c:pt idx="57">
                  <c:v>1778.6299999999999</c:v>
                </c:pt>
                <c:pt idx="58">
                  <c:v>1778.6299999999999</c:v>
                </c:pt>
                <c:pt idx="59">
                  <c:v>1778.64</c:v>
                </c:pt>
                <c:pt idx="60">
                  <c:v>1778.64</c:v>
                </c:pt>
              </c:numCache>
            </c:numRef>
          </c:xVal>
          <c:yVal>
            <c:numRef>
              <c:f>Ks!$AD$3:$AD$63</c:f>
              <c:numCache>
                <c:formatCode>0.000</c:formatCode>
                <c:ptCount val="61"/>
                <c:pt idx="0">
                  <c:v>9.734</c:v>
                </c:pt>
                <c:pt idx="1">
                  <c:v>10.345999999999998</c:v>
                </c:pt>
                <c:pt idx="2">
                  <c:v>10.354000000000001</c:v>
                </c:pt>
                <c:pt idx="3">
                  <c:v>10.257999999999999</c:v>
                </c:pt>
                <c:pt idx="4">
                  <c:v>10.066000000000001</c:v>
                </c:pt>
                <c:pt idx="5">
                  <c:v>9.93</c:v>
                </c:pt>
                <c:pt idx="6">
                  <c:v>9.5760000000000005</c:v>
                </c:pt>
                <c:pt idx="7">
                  <c:v>9.43</c:v>
                </c:pt>
                <c:pt idx="8">
                  <c:v>9.1959999999999997</c:v>
                </c:pt>
                <c:pt idx="9">
                  <c:v>8.6879999999999988</c:v>
                </c:pt>
                <c:pt idx="10">
                  <c:v>8.468</c:v>
                </c:pt>
                <c:pt idx="11">
                  <c:v>8.3179999999999996</c:v>
                </c:pt>
                <c:pt idx="12">
                  <c:v>8.1620000000000008</c:v>
                </c:pt>
                <c:pt idx="13">
                  <c:v>8.06</c:v>
                </c:pt>
                <c:pt idx="14">
                  <c:v>8.177999999999999</c:v>
                </c:pt>
                <c:pt idx="15">
                  <c:v>8.0579999999999998</c:v>
                </c:pt>
                <c:pt idx="16">
                  <c:v>7.9239999999999995</c:v>
                </c:pt>
                <c:pt idx="17">
                  <c:v>7.91</c:v>
                </c:pt>
                <c:pt idx="18">
                  <c:v>8.0440000000000005</c:v>
                </c:pt>
                <c:pt idx="19">
                  <c:v>8.0820000000000007</c:v>
                </c:pt>
                <c:pt idx="20">
                  <c:v>8.07</c:v>
                </c:pt>
                <c:pt idx="21">
                  <c:v>8.0239999999999991</c:v>
                </c:pt>
                <c:pt idx="22">
                  <c:v>7.94</c:v>
                </c:pt>
                <c:pt idx="23">
                  <c:v>7.5839999999999996</c:v>
                </c:pt>
                <c:pt idx="24">
                  <c:v>7.4120000000000008</c:v>
                </c:pt>
                <c:pt idx="25">
                  <c:v>7.5539999999999994</c:v>
                </c:pt>
                <c:pt idx="26">
                  <c:v>7.86</c:v>
                </c:pt>
                <c:pt idx="27">
                  <c:v>7.8220000000000001</c:v>
                </c:pt>
                <c:pt idx="28">
                  <c:v>7.8540000000000001</c:v>
                </c:pt>
                <c:pt idx="29">
                  <c:v>7.8660000000000005</c:v>
                </c:pt>
                <c:pt idx="30">
                  <c:v>7.7759999999999998</c:v>
                </c:pt>
                <c:pt idx="31">
                  <c:v>7.6960000000000006</c:v>
                </c:pt>
                <c:pt idx="32">
                  <c:v>7.9359999999999999</c:v>
                </c:pt>
                <c:pt idx="33">
                  <c:v>8.3079999999999998</c:v>
                </c:pt>
                <c:pt idx="34">
                  <c:v>8.5399999999999991</c:v>
                </c:pt>
                <c:pt idx="35">
                  <c:v>8.5860000000000003</c:v>
                </c:pt>
                <c:pt idx="36">
                  <c:v>8.5459999999999994</c:v>
                </c:pt>
                <c:pt idx="37">
                  <c:v>8.36</c:v>
                </c:pt>
                <c:pt idx="38">
                  <c:v>7.8420000000000005</c:v>
                </c:pt>
                <c:pt idx="39">
                  <c:v>7.1560000000000006</c:v>
                </c:pt>
                <c:pt idx="40">
                  <c:v>6.61</c:v>
                </c:pt>
                <c:pt idx="41">
                  <c:v>6.3679999999999994</c:v>
                </c:pt>
                <c:pt idx="42">
                  <c:v>6.1440000000000001</c:v>
                </c:pt>
                <c:pt idx="43">
                  <c:v>6.1479999999999997</c:v>
                </c:pt>
                <c:pt idx="44">
                  <c:v>6.4179999999999993</c:v>
                </c:pt>
                <c:pt idx="45">
                  <c:v>6.49</c:v>
                </c:pt>
                <c:pt idx="46">
                  <c:v>6.22</c:v>
                </c:pt>
                <c:pt idx="47">
                  <c:v>6.3120000000000003</c:v>
                </c:pt>
                <c:pt idx="48">
                  <c:v>6.6059999999999999</c:v>
                </c:pt>
                <c:pt idx="49">
                  <c:v>6.9660000000000002</c:v>
                </c:pt>
                <c:pt idx="50">
                  <c:v>7.3959999999999999</c:v>
                </c:pt>
                <c:pt idx="51">
                  <c:v>8.0579999999999998</c:v>
                </c:pt>
                <c:pt idx="52">
                  <c:v>8.4540000000000006</c:v>
                </c:pt>
                <c:pt idx="53">
                  <c:v>9.0380000000000003</c:v>
                </c:pt>
                <c:pt idx="54">
                  <c:v>9.2620000000000005</c:v>
                </c:pt>
                <c:pt idx="55">
                  <c:v>9.2220000000000013</c:v>
                </c:pt>
                <c:pt idx="56">
                  <c:v>9.1460000000000008</c:v>
                </c:pt>
                <c:pt idx="57">
                  <c:v>9.2720000000000002</c:v>
                </c:pt>
                <c:pt idx="58">
                  <c:v>9.0339999999999989</c:v>
                </c:pt>
                <c:pt idx="59">
                  <c:v>8.8559999999999999</c:v>
                </c:pt>
                <c:pt idx="60">
                  <c:v>8.9540000000000006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C-4155-9DE8-EEF78DDCEF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32303"/>
        <c:axId val="414766191"/>
      </c:scatterChart>
      <c:valAx>
        <c:axId val="667332303"/>
        <c:scaling>
          <c:orientation val="minMax"/>
          <c:max val="1778.6399999999999"/>
          <c:min val="1778.52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766191"/>
        <c:crosses val="autoZero"/>
        <c:crossBetween val="midCat"/>
      </c:valAx>
      <c:valAx>
        <c:axId val="414766191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32303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756276</xdr:colOff>
      <xdr:row>7</xdr:row>
      <xdr:rowOff>174835</xdr:rowOff>
    </xdr:from>
    <xdr:to>
      <xdr:col>7</xdr:col>
      <xdr:colOff>726281</xdr:colOff>
      <xdr:row>45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C1C9CC-33E0-489D-AA08-7556472AD5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733084</xdr:colOff>
      <xdr:row>7</xdr:row>
      <xdr:rowOff>47623</xdr:rowOff>
    </xdr:from>
    <xdr:to>
      <xdr:col>18</xdr:col>
      <xdr:colOff>177514</xdr:colOff>
      <xdr:row>44</xdr:row>
      <xdr:rowOff>44223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F066AC-0355-4DF3-82A0-3AD71AB578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731384</xdr:colOff>
      <xdr:row>7</xdr:row>
      <xdr:rowOff>6804</xdr:rowOff>
    </xdr:from>
    <xdr:to>
      <xdr:col>28</xdr:col>
      <xdr:colOff>839162</xdr:colOff>
      <xdr:row>44</xdr:row>
      <xdr:rowOff>3402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9F68355-8A3A-4590-9D7E-612E4E81CF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0</xdr:colOff>
      <xdr:row>23</xdr:row>
      <xdr:rowOff>0</xdr:rowOff>
    </xdr:from>
    <xdr:to>
      <xdr:col>62</xdr:col>
      <xdr:colOff>375422</xdr:colOff>
      <xdr:row>43</xdr:row>
      <xdr:rowOff>153988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3BBB3C-D2DE-4048-9DD1-DEA13A1D95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184170</xdr:colOff>
      <xdr:row>2</xdr:row>
      <xdr:rowOff>156361</xdr:rowOff>
    </xdr:from>
    <xdr:to>
      <xdr:col>27</xdr:col>
      <xdr:colOff>309562</xdr:colOff>
      <xdr:row>23</xdr:row>
      <xdr:rowOff>119849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693E5C-A124-407E-8C75-3A4D00998E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238124</xdr:colOff>
      <xdr:row>26</xdr:row>
      <xdr:rowOff>71437</xdr:rowOff>
    </xdr:from>
    <xdr:to>
      <xdr:col>27</xdr:col>
      <xdr:colOff>363516</xdr:colOff>
      <xdr:row>47</xdr:row>
      <xdr:rowOff>34925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D81E9-2E62-429F-A13F-3F95BA21D0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119064</xdr:colOff>
      <xdr:row>49</xdr:row>
      <xdr:rowOff>83343</xdr:rowOff>
    </xdr:from>
    <xdr:to>
      <xdr:col>27</xdr:col>
      <xdr:colOff>244456</xdr:colOff>
      <xdr:row>70</xdr:row>
      <xdr:rowOff>46831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47F1EA-B6EC-4F66-8E3F-0CA625B8B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55</xdr:col>
      <xdr:colOff>452438</xdr:colOff>
      <xdr:row>1</xdr:row>
      <xdr:rowOff>35718</xdr:rowOff>
    </xdr:from>
    <xdr:to>
      <xdr:col>67</xdr:col>
      <xdr:colOff>202408</xdr:colOff>
      <xdr:row>24</xdr:row>
      <xdr:rowOff>178592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708C1D-9D45-4679-8BE5-3A660D3EBF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416719</xdr:colOff>
      <xdr:row>28</xdr:row>
      <xdr:rowOff>142875</xdr:rowOff>
    </xdr:from>
    <xdr:to>
      <xdr:col>67</xdr:col>
      <xdr:colOff>166689</xdr:colOff>
      <xdr:row>55</xdr:row>
      <xdr:rowOff>59531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69F163-73FA-48E8-AF85-6745A92D73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55</xdr:col>
      <xdr:colOff>595314</xdr:colOff>
      <xdr:row>57</xdr:row>
      <xdr:rowOff>95250</xdr:rowOff>
    </xdr:from>
    <xdr:to>
      <xdr:col>67</xdr:col>
      <xdr:colOff>345284</xdr:colOff>
      <xdr:row>84</xdr:row>
      <xdr:rowOff>11906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1CB299A-3E66-4A7C-BCFB-8C326723BA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551657</xdr:colOff>
      <xdr:row>10</xdr:row>
      <xdr:rowOff>106366</xdr:rowOff>
    </xdr:from>
    <xdr:to>
      <xdr:col>6</xdr:col>
      <xdr:colOff>420688</xdr:colOff>
      <xdr:row>37</xdr:row>
      <xdr:rowOff>138907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0D53B-C535-4F50-BB6F-4FDFFC511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142874</xdr:colOff>
      <xdr:row>9</xdr:row>
      <xdr:rowOff>95249</xdr:rowOff>
    </xdr:from>
    <xdr:to>
      <xdr:col>9</xdr:col>
      <xdr:colOff>142874</xdr:colOff>
      <xdr:row>34</xdr:row>
      <xdr:rowOff>8728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8907FA03-041B-4B96-9CD8-46A0AF8AC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1000124</xdr:colOff>
      <xdr:row>10</xdr:row>
      <xdr:rowOff>35718</xdr:rowOff>
    </xdr:from>
    <xdr:to>
      <xdr:col>19</xdr:col>
      <xdr:colOff>273843</xdr:colOff>
      <xdr:row>34</xdr:row>
      <xdr:rowOff>139697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CDD18C8-EEB5-4454-BD5A-04949841E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250031</xdr:colOff>
      <xdr:row>9</xdr:row>
      <xdr:rowOff>107156</xdr:rowOff>
    </xdr:from>
    <xdr:to>
      <xdr:col>29</xdr:col>
      <xdr:colOff>785812</xdr:colOff>
      <xdr:row>34</xdr:row>
      <xdr:rowOff>20635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577FCC2-5F43-4DE6-AF9D-7295E7879F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9</xdr:row>
      <xdr:rowOff>0</xdr:rowOff>
    </xdr:from>
    <xdr:to>
      <xdr:col>41</xdr:col>
      <xdr:colOff>488156</xdr:colOff>
      <xdr:row>33</xdr:row>
      <xdr:rowOff>103979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4D91C26-CFEC-468F-A720-53CA5623AD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3BE6B-61A0-4B5E-BE6E-908DBEAF02F6}">
  <dimension ref="A1:AT43"/>
  <sheetViews>
    <sheetView topLeftCell="Y1" zoomScale="80" zoomScaleNormal="80" workbookViewId="0">
      <selection activeCell="AF1" sqref="AF1"/>
    </sheetView>
  </sheetViews>
  <sheetFormatPr defaultRowHeight="15" x14ac:dyDescent="0.25"/>
  <cols>
    <col min="1" max="1" width="13.7109375" style="6" customWidth="1"/>
    <col min="2" max="2" width="14.140625" style="6" customWidth="1"/>
    <col min="3" max="3" width="13.28515625" style="6" customWidth="1"/>
    <col min="4" max="4" width="19.140625" style="6" customWidth="1"/>
    <col min="5" max="5" width="23.28515625" style="6" customWidth="1"/>
    <col min="6" max="6" width="13.7109375" style="6" customWidth="1"/>
    <col min="7" max="7" width="14.140625" style="6" customWidth="1"/>
    <col min="8" max="8" width="13.28515625" style="6" customWidth="1"/>
    <col min="9" max="9" width="20.42578125" style="6" customWidth="1"/>
    <col min="10" max="10" width="22.28515625" style="6" customWidth="1"/>
    <col min="11" max="11" width="13.7109375" style="6" customWidth="1"/>
    <col min="12" max="12" width="14.140625" style="6" customWidth="1"/>
    <col min="13" max="13" width="13.28515625" style="6" customWidth="1"/>
    <col min="14" max="14" width="15.85546875" style="6" customWidth="1"/>
    <col min="15" max="15" width="21.28515625" style="6" customWidth="1"/>
    <col min="16" max="16" width="13.7109375" style="6" customWidth="1"/>
    <col min="17" max="17" width="14.140625" style="6" customWidth="1"/>
    <col min="18" max="18" width="13.28515625" style="6" customWidth="1"/>
    <col min="19" max="19" width="18.5703125" style="6" customWidth="1"/>
    <col min="20" max="20" width="20.28515625" style="6" customWidth="1"/>
    <col min="21" max="21" width="13.7109375" style="6" customWidth="1"/>
    <col min="22" max="22" width="14.140625" style="6" customWidth="1"/>
    <col min="23" max="23" width="13.28515625" style="6" customWidth="1"/>
    <col min="24" max="24" width="26.42578125" style="6" customWidth="1"/>
    <col min="25" max="25" width="28.42578125" style="6" customWidth="1"/>
    <col min="26" max="26" width="13.7109375" style="6" customWidth="1"/>
    <col min="27" max="27" width="14.140625" style="6" customWidth="1"/>
    <col min="28" max="28" width="13.28515625" style="6" customWidth="1"/>
    <col min="29" max="29" width="34.42578125" style="6" customWidth="1"/>
    <col min="30" max="30" width="32.140625" style="6" customWidth="1"/>
    <col min="31" max="31" width="9.140625" style="6"/>
    <col min="32" max="32" width="8.5703125" style="6" customWidth="1"/>
    <col min="33" max="33" width="41.28515625" style="6" customWidth="1"/>
    <col min="34" max="34" width="16.7109375" style="8" customWidth="1"/>
    <col min="35" max="35" width="5.28515625" style="6" customWidth="1"/>
    <col min="36" max="36" width="17.42578125" style="8" customWidth="1"/>
    <col min="37" max="37" width="6.85546875" style="6" customWidth="1"/>
    <col min="38" max="42" width="9.140625" style="6"/>
    <col min="43" max="43" width="23.5703125" style="6" customWidth="1"/>
    <col min="44" max="44" width="11.28515625" style="6" customWidth="1"/>
    <col min="45" max="45" width="8.7109375" style="6" customWidth="1"/>
    <col min="46" max="46" width="12" style="6" customWidth="1"/>
    <col min="47" max="16384" width="9.140625" style="6"/>
  </cols>
  <sheetData>
    <row r="1" spans="1:46" s="8" customFormat="1" ht="15.75" customHeight="1" x14ac:dyDescent="0.25">
      <c r="A1" s="68" t="s">
        <v>83</v>
      </c>
      <c r="B1" s="68"/>
      <c r="C1" s="68"/>
      <c r="D1" s="68"/>
      <c r="E1" s="68"/>
      <c r="F1" s="69" t="s">
        <v>75</v>
      </c>
      <c r="G1" s="69"/>
      <c r="H1" s="69"/>
      <c r="I1" s="69"/>
      <c r="J1" s="69"/>
      <c r="K1" s="68" t="s">
        <v>81</v>
      </c>
      <c r="L1" s="68"/>
      <c r="M1" s="68"/>
      <c r="N1" s="68"/>
      <c r="O1" s="68"/>
      <c r="P1" s="67" t="s">
        <v>78</v>
      </c>
      <c r="Q1" s="67"/>
      <c r="R1" s="67"/>
      <c r="S1" s="67"/>
      <c r="T1" s="67"/>
      <c r="U1" s="68" t="s">
        <v>82</v>
      </c>
      <c r="V1" s="68"/>
      <c r="W1" s="68"/>
      <c r="X1" s="68"/>
      <c r="Y1" s="68"/>
      <c r="Z1" s="67" t="s">
        <v>80</v>
      </c>
      <c r="AA1" s="67"/>
      <c r="AB1" s="67"/>
      <c r="AC1" s="67"/>
      <c r="AD1" s="67"/>
      <c r="AH1" s="8" t="s">
        <v>73</v>
      </c>
      <c r="AJ1" s="8" t="s">
        <v>72</v>
      </c>
      <c r="AR1" s="11"/>
    </row>
    <row r="2" spans="1:46" s="3" customFormat="1" ht="33" x14ac:dyDescent="0.25">
      <c r="A2" s="11" t="s">
        <v>28</v>
      </c>
      <c r="B2" s="11" t="s">
        <v>0</v>
      </c>
      <c r="C2" s="11" t="s">
        <v>1</v>
      </c>
      <c r="D2" s="60" t="s">
        <v>87</v>
      </c>
      <c r="E2" s="60" t="s">
        <v>93</v>
      </c>
      <c r="F2" s="11" t="s">
        <v>28</v>
      </c>
      <c r="G2" s="11" t="s">
        <v>0</v>
      </c>
      <c r="H2" s="11" t="s">
        <v>1</v>
      </c>
      <c r="I2" s="60" t="s">
        <v>90</v>
      </c>
      <c r="J2" s="60" t="s">
        <v>96</v>
      </c>
      <c r="K2" s="11" t="s">
        <v>27</v>
      </c>
      <c r="L2" s="11" t="s">
        <v>0</v>
      </c>
      <c r="M2" s="11" t="s">
        <v>1</v>
      </c>
      <c r="N2" s="60" t="s">
        <v>88</v>
      </c>
      <c r="O2" s="60" t="s">
        <v>94</v>
      </c>
      <c r="P2" s="11" t="s">
        <v>27</v>
      </c>
      <c r="Q2" s="11" t="s">
        <v>0</v>
      </c>
      <c r="R2" s="11" t="s">
        <v>1</v>
      </c>
      <c r="S2" s="60" t="s">
        <v>91</v>
      </c>
      <c r="T2" s="60" t="s">
        <v>98</v>
      </c>
      <c r="U2" s="11" t="s">
        <v>28</v>
      </c>
      <c r="V2" s="11" t="s">
        <v>0</v>
      </c>
      <c r="W2" s="11" t="s">
        <v>1</v>
      </c>
      <c r="X2" s="60" t="s">
        <v>89</v>
      </c>
      <c r="Y2" s="60" t="s">
        <v>95</v>
      </c>
      <c r="Z2" s="11" t="s">
        <v>28</v>
      </c>
      <c r="AA2" s="11" t="s">
        <v>0</v>
      </c>
      <c r="AB2" s="11" t="s">
        <v>1</v>
      </c>
      <c r="AC2" s="60" t="s">
        <v>92</v>
      </c>
      <c r="AD2" s="60" t="s">
        <v>97</v>
      </c>
      <c r="AH2" s="63" t="s">
        <v>3</v>
      </c>
      <c r="AJ2" s="52"/>
      <c r="AK2" s="11"/>
      <c r="AR2" s="52"/>
      <c r="AS2" s="11"/>
      <c r="AT2" s="52"/>
    </row>
    <row r="3" spans="1:46" x14ac:dyDescent="0.25">
      <c r="A3" s="6">
        <f>1778.51+0.03</f>
        <v>1778.54</v>
      </c>
      <c r="B3" s="6">
        <v>3909.09</v>
      </c>
      <c r="C3" s="6">
        <v>2031.1</v>
      </c>
      <c r="D3" s="36">
        <v>0.31509900000000002</v>
      </c>
      <c r="E3" s="39">
        <f>((2*'%Weight'!R3*(C3^2))*(1-D3))/(10^9)</f>
        <v>14.136957392744462</v>
      </c>
      <c r="F3" s="6">
        <f>1778.51+0.03</f>
        <v>1778.54</v>
      </c>
      <c r="G3" s="6">
        <v>5958.85</v>
      </c>
      <c r="H3" s="6">
        <v>3678.31</v>
      </c>
      <c r="I3" s="35">
        <v>0.192192</v>
      </c>
      <c r="J3" s="39">
        <f>((2*'%Weight'!T3*(H3^2))*(1-I3))/(10^9)</f>
        <v>61.852961865990721</v>
      </c>
      <c r="K3" s="6">
        <f>1778.51+0.03</f>
        <v>1778.54</v>
      </c>
      <c r="L3" s="6">
        <v>4806.97</v>
      </c>
      <c r="M3" s="6">
        <v>2484.5700000000002</v>
      </c>
      <c r="N3" s="35">
        <v>0.31772899999999998</v>
      </c>
      <c r="O3" s="39">
        <f>((2*'%Weight'!R4*(M3^2))*(1-N3))/(10^9)</f>
        <v>18.531909509343816</v>
      </c>
      <c r="P3" s="6">
        <f>1778.51+0.03</f>
        <v>1778.54</v>
      </c>
      <c r="Q3" s="6">
        <v>5580.86</v>
      </c>
      <c r="R3" s="6">
        <v>3300.32</v>
      </c>
      <c r="S3" s="35">
        <v>0.23111100000000001</v>
      </c>
      <c r="T3" s="39">
        <f>((2*'%Weight'!T4*(R3^2))*(1-S3))/(10^9)</f>
        <v>54.111375342627873</v>
      </c>
      <c r="U3" s="6">
        <f>1778.51+0.03</f>
        <v>1778.54</v>
      </c>
      <c r="V3" s="6">
        <v>3401.12</v>
      </c>
      <c r="W3" s="6">
        <v>1800.96</v>
      </c>
      <c r="X3" s="35">
        <v>0.305178</v>
      </c>
      <c r="Y3" s="39">
        <f>((2*'%Weight'!R5*(W3^2))*(1-X3))/(10^9)</f>
        <v>14.337061535871912</v>
      </c>
      <c r="Z3" s="6">
        <f>1778.51+0.03</f>
        <v>1778.54</v>
      </c>
      <c r="AA3" s="6">
        <v>6047.05</v>
      </c>
      <c r="AB3" s="6">
        <v>3854.7</v>
      </c>
      <c r="AC3" s="35">
        <v>0.15776000000000001</v>
      </c>
      <c r="AD3" s="39">
        <f>((2*'%Weight'!T5*(AB3^2))*(1-AC3))/(10^9)</f>
        <v>96.767602165539188</v>
      </c>
      <c r="AG3" s="12" t="s">
        <v>30</v>
      </c>
      <c r="AH3" s="62">
        <f>AVERAGE($D$3:$D$4)</f>
        <v>0.32177100000000003</v>
      </c>
      <c r="AI3" s="30" t="s">
        <v>17</v>
      </c>
      <c r="AJ3" s="27">
        <f>AVERAGE($E$3:$E$4)</f>
        <v>14.582446781232219</v>
      </c>
      <c r="AK3" s="30" t="s">
        <v>36</v>
      </c>
    </row>
    <row r="4" spans="1:46" x14ac:dyDescent="0.25">
      <c r="A4" s="6">
        <f>1778.51+0.07</f>
        <v>1778.58</v>
      </c>
      <c r="B4" s="6">
        <v>4184.21</v>
      </c>
      <c r="C4" s="6">
        <v>2114.83</v>
      </c>
      <c r="D4" s="36">
        <v>0.32844299999999998</v>
      </c>
      <c r="E4" s="39">
        <f>((2*'%Weight'!R3*(C4^2))*(1-D4))/(10^9)</f>
        <v>15.027936169719977</v>
      </c>
      <c r="F4" s="6">
        <f>1778.51+0.07</f>
        <v>1778.58</v>
      </c>
      <c r="G4" s="6">
        <v>5870.65</v>
      </c>
      <c r="H4" s="6">
        <v>3577.51</v>
      </c>
      <c r="I4" s="35">
        <v>0.20463899999999999</v>
      </c>
      <c r="J4" s="39">
        <f>((2*'%Weight'!T3*(H4^2))*(1-I4))/(10^9)</f>
        <v>57.60785436721995</v>
      </c>
      <c r="K4" s="6">
        <f>1778.51+0.07</f>
        <v>1778.58</v>
      </c>
      <c r="L4" s="6">
        <v>4541.6499999999996</v>
      </c>
      <c r="M4" s="6">
        <v>2278.1999999999998</v>
      </c>
      <c r="N4" s="35">
        <v>0.33188499999999999</v>
      </c>
      <c r="O4" s="39">
        <f>((2*'%Weight'!R4*(M4^2))*(1-N4))/(10^9)</f>
        <v>15.257932956436568</v>
      </c>
      <c r="P4" s="6">
        <f>1778.51+0.07</f>
        <v>1778.58</v>
      </c>
      <c r="Q4" s="6">
        <v>5404.47</v>
      </c>
      <c r="R4" s="6">
        <v>3174.32</v>
      </c>
      <c r="S4" s="35">
        <v>0.23666200000000001</v>
      </c>
      <c r="T4" s="39">
        <f>((2*'%Weight'!T4*(R4^2))*(1-S4))/(10^9)</f>
        <v>49.697107881841362</v>
      </c>
      <c r="U4" s="6">
        <f>1778.51+0.07</f>
        <v>1778.58</v>
      </c>
      <c r="V4" s="6">
        <v>3879.9</v>
      </c>
      <c r="W4" s="6">
        <v>2065.5500000000002</v>
      </c>
      <c r="X4" s="35">
        <v>0.30224200000000001</v>
      </c>
      <c r="Y4" s="39">
        <f>((2*'%Weight'!R5*(W4^2))*(1-X4))/(10^9)</f>
        <v>18.938897916196172</v>
      </c>
      <c r="Z4" s="6">
        <f>1778.51+0.07</f>
        <v>1778.58</v>
      </c>
      <c r="AA4" s="6">
        <v>5807.66</v>
      </c>
      <c r="AB4" s="6">
        <v>3627.91</v>
      </c>
      <c r="AC4" s="35">
        <v>0.18003</v>
      </c>
      <c r="AD4" s="39">
        <f>((2*'%Weight'!T5*(AB4^2))*(1-AC4))/(10^9)</f>
        <v>83.44953506587494</v>
      </c>
      <c r="AG4" s="12" t="s">
        <v>34</v>
      </c>
      <c r="AH4" s="62">
        <f>AVERAGE($I$3:$I$4)</f>
        <v>0.19841549999999999</v>
      </c>
      <c r="AI4" s="30" t="s">
        <v>17</v>
      </c>
      <c r="AJ4" s="27">
        <f>AVERAGE($J$3:$J$4)</f>
        <v>59.730408116605332</v>
      </c>
      <c r="AK4" s="30" t="s">
        <v>36</v>
      </c>
    </row>
    <row r="5" spans="1:46" x14ac:dyDescent="0.25">
      <c r="A5" s="2"/>
      <c r="B5" s="2"/>
      <c r="C5" s="2"/>
      <c r="D5" s="2"/>
      <c r="E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G5" s="29" t="s">
        <v>31</v>
      </c>
      <c r="AH5" s="62">
        <f>AVERAGE($N$3:$N$4)</f>
        <v>0.32480699999999996</v>
      </c>
      <c r="AI5" s="30" t="s">
        <v>17</v>
      </c>
      <c r="AJ5" s="27">
        <f>AVERAGE($O$3:$O$4)</f>
        <v>16.894921232890191</v>
      </c>
      <c r="AK5" s="30" t="s">
        <v>36</v>
      </c>
    </row>
    <row r="6" spans="1:46" x14ac:dyDescent="0.25">
      <c r="A6" s="2"/>
      <c r="B6" s="2"/>
      <c r="C6" s="2"/>
      <c r="D6" s="2"/>
      <c r="E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F6" s="29"/>
      <c r="AG6" s="29" t="s">
        <v>35</v>
      </c>
      <c r="AH6" s="62">
        <f>AVERAGE($S$3:$S$4)</f>
        <v>0.2338865</v>
      </c>
      <c r="AI6" s="30" t="s">
        <v>17</v>
      </c>
      <c r="AJ6" s="27">
        <f>AVERAGE($T$3:$T$4)</f>
        <v>51.904241612234614</v>
      </c>
      <c r="AK6" s="30" t="s">
        <v>36</v>
      </c>
    </row>
    <row r="7" spans="1:46" x14ac:dyDescent="0.25">
      <c r="A7" s="2" t="s">
        <v>48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G7" s="29" t="s">
        <v>32</v>
      </c>
      <c r="AH7" s="62">
        <f>AVERAGE($X$3:$X$4)</f>
        <v>0.30371000000000004</v>
      </c>
      <c r="AI7" s="30" t="s">
        <v>17</v>
      </c>
      <c r="AJ7" s="27">
        <f>AVERAGE($Y$3:$Y$4)</f>
        <v>16.637979726034043</v>
      </c>
      <c r="AK7" s="30" t="s">
        <v>36</v>
      </c>
    </row>
    <row r="8" spans="1:4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 t="s">
        <v>49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 t="s">
        <v>50</v>
      </c>
      <c r="X8" s="2"/>
      <c r="Y8" s="2"/>
      <c r="Z8" s="2"/>
      <c r="AA8" s="2"/>
      <c r="AB8" s="2"/>
      <c r="AC8" s="2"/>
      <c r="AD8" s="2"/>
      <c r="AG8" s="29" t="s">
        <v>33</v>
      </c>
      <c r="AH8" s="62">
        <f>AVERAGE($AC$3:$AC$4)</f>
        <v>0.16889500000000002</v>
      </c>
      <c r="AI8" s="30" t="s">
        <v>17</v>
      </c>
      <c r="AJ8" s="27">
        <f>AVERAGE($AD$3:$AD$4)</f>
        <v>90.108568615707071</v>
      </c>
      <c r="AK8" s="30" t="s">
        <v>36</v>
      </c>
    </row>
    <row r="9" spans="1:46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G9" s="29"/>
      <c r="AH9" s="27"/>
      <c r="AI9" s="30"/>
      <c r="AJ9" s="64"/>
      <c r="AK9" s="16"/>
    </row>
    <row r="10" spans="1:46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G10" s="29"/>
      <c r="AH10" s="27"/>
      <c r="AI10" s="30"/>
      <c r="AJ10" s="64"/>
      <c r="AK10" s="16"/>
    </row>
    <row r="11" spans="1:46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J11" s="64"/>
      <c r="AK11" s="16"/>
    </row>
    <row r="12" spans="1:4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J12" s="64"/>
      <c r="AK12" s="16"/>
    </row>
    <row r="13" spans="1:46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G13" s="2"/>
      <c r="AH13" s="15" t="s">
        <v>3</v>
      </c>
      <c r="AI13"/>
      <c r="AJ13" s="64"/>
      <c r="AK13" s="16"/>
    </row>
    <row r="14" spans="1:46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G14" s="12" t="s">
        <v>30</v>
      </c>
      <c r="AH14" s="62">
        <f>AH3</f>
        <v>0.32177100000000003</v>
      </c>
      <c r="AI14" s="30" t="s">
        <v>17</v>
      </c>
      <c r="AJ14" s="27">
        <f>AJ3</f>
        <v>14.582446781232219</v>
      </c>
      <c r="AK14" s="30" t="s">
        <v>36</v>
      </c>
    </row>
    <row r="15" spans="1:46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G15" s="12" t="s">
        <v>31</v>
      </c>
      <c r="AH15" s="62">
        <f>AH5</f>
        <v>0.32480699999999996</v>
      </c>
      <c r="AI15" s="30" t="s">
        <v>17</v>
      </c>
      <c r="AJ15" s="27">
        <f>AJ5</f>
        <v>16.894921232890191</v>
      </c>
      <c r="AK15" s="30" t="s">
        <v>36</v>
      </c>
    </row>
    <row r="16" spans="1:46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G16" s="1" t="s">
        <v>32</v>
      </c>
      <c r="AH16" s="62">
        <f>AH7</f>
        <v>0.30371000000000004</v>
      </c>
      <c r="AI16" s="30" t="s">
        <v>17</v>
      </c>
      <c r="AJ16" s="27">
        <f>AJ7</f>
        <v>16.637979726034043</v>
      </c>
      <c r="AK16" s="30" t="s">
        <v>36</v>
      </c>
    </row>
    <row r="17" spans="1:37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G17" s="12" t="s">
        <v>34</v>
      </c>
      <c r="AH17" s="62">
        <f>AH4</f>
        <v>0.19841549999999999</v>
      </c>
      <c r="AI17" s="30" t="s">
        <v>17</v>
      </c>
      <c r="AJ17" s="27">
        <f>AJ4</f>
        <v>59.730408116605332</v>
      </c>
      <c r="AK17" s="30" t="s">
        <v>36</v>
      </c>
    </row>
    <row r="18" spans="1:37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G18" s="12" t="s">
        <v>35</v>
      </c>
      <c r="AH18" s="62">
        <f>AH6</f>
        <v>0.2338865</v>
      </c>
      <c r="AI18" s="30" t="s">
        <v>17</v>
      </c>
      <c r="AJ18" s="27">
        <f>AJ6</f>
        <v>51.904241612234614</v>
      </c>
      <c r="AK18" s="30" t="s">
        <v>36</v>
      </c>
    </row>
    <row r="19" spans="1:3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G19" s="12" t="s">
        <v>33</v>
      </c>
      <c r="AH19" s="62">
        <f>AH8</f>
        <v>0.16889500000000002</v>
      </c>
      <c r="AI19" s="30" t="s">
        <v>17</v>
      </c>
      <c r="AJ19" s="27">
        <f>AJ8</f>
        <v>90.108568615707071</v>
      </c>
      <c r="AK19" s="30" t="s">
        <v>36</v>
      </c>
    </row>
    <row r="20" spans="1:37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G20" s="12"/>
      <c r="AH20" s="27"/>
      <c r="AI20" s="30"/>
    </row>
    <row r="21" spans="1:37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G21" s="12"/>
      <c r="AH21" s="27"/>
      <c r="AI21" s="30"/>
    </row>
    <row r="22" spans="1:37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G22" s="12"/>
      <c r="AH22" s="27"/>
      <c r="AI22" s="30"/>
    </row>
    <row r="23" spans="1:37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G23" s="12"/>
      <c r="AH23" s="27"/>
      <c r="AI23" s="30"/>
    </row>
    <row r="24" spans="1:3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G24" s="14"/>
      <c r="AH24" s="14"/>
      <c r="AI24" s="14"/>
    </row>
    <row r="25" spans="1:37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G25" s="14"/>
      <c r="AH25" s="14"/>
      <c r="AI25" s="14"/>
    </row>
    <row r="26" spans="1:37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G26" s="14"/>
      <c r="AH26" s="23"/>
      <c r="AI26"/>
    </row>
    <row r="27" spans="1:37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G27" s="12"/>
      <c r="AH27" s="27"/>
      <c r="AI27" s="30"/>
    </row>
    <row r="28" spans="1:3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G28" s="12"/>
      <c r="AH28" s="27"/>
      <c r="AI28" s="30"/>
    </row>
    <row r="29" spans="1:37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G29" s="12"/>
      <c r="AH29" s="27"/>
      <c r="AI29" s="30"/>
    </row>
    <row r="30" spans="1:37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G30" s="12"/>
      <c r="AH30" s="27"/>
      <c r="AI30" s="30"/>
    </row>
    <row r="31" spans="1:37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7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</sheetData>
  <mergeCells count="6">
    <mergeCell ref="Z1:AD1"/>
    <mergeCell ref="A1:E1"/>
    <mergeCell ref="F1:J1"/>
    <mergeCell ref="K1:O1"/>
    <mergeCell ref="P1:T1"/>
    <mergeCell ref="U1:Y1"/>
  </mergeCells>
  <phoneticPr fontId="24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62"/>
  <sheetViews>
    <sheetView topLeftCell="O1" zoomScale="80" zoomScaleNormal="80" workbookViewId="0">
      <selection activeCell="AD16" sqref="AD16"/>
    </sheetView>
  </sheetViews>
  <sheetFormatPr defaultRowHeight="15" x14ac:dyDescent="0.25"/>
  <cols>
    <col min="1" max="1" width="13" style="14" customWidth="1"/>
    <col min="2" max="2" width="16.7109375" style="14" customWidth="1"/>
    <col min="3" max="3" width="14.28515625" style="14" customWidth="1"/>
    <col min="4" max="4" width="19.42578125" style="14" customWidth="1"/>
    <col min="5" max="5" width="12.85546875" style="14" customWidth="1"/>
    <col min="6" max="6" width="19.28515625" style="14" customWidth="1"/>
    <col min="7" max="8" width="18.140625" style="14" customWidth="1"/>
    <col min="9" max="9" width="15.7109375" style="14" customWidth="1"/>
    <col min="10" max="10" width="17.140625" style="14" customWidth="1"/>
    <col min="11" max="11" width="15.7109375" style="14" customWidth="1"/>
    <col min="12" max="12" width="17.85546875" style="14" customWidth="1"/>
    <col min="13" max="13" width="12.85546875" style="14" customWidth="1"/>
    <col min="14" max="14" width="42.140625" style="14" customWidth="1"/>
    <col min="15" max="15" width="13" style="14" customWidth="1"/>
    <col min="16" max="16" width="10.140625" style="14" customWidth="1"/>
    <col min="17" max="17" width="10.85546875" style="14" customWidth="1"/>
    <col min="18" max="18" width="11.140625" style="14" customWidth="1"/>
    <col min="19" max="16384" width="9.140625" style="14"/>
  </cols>
  <sheetData>
    <row r="1" spans="1:30" ht="15.75" x14ac:dyDescent="0.25">
      <c r="A1" s="68" t="s">
        <v>74</v>
      </c>
      <c r="B1" s="68"/>
      <c r="C1" s="67" t="s">
        <v>76</v>
      </c>
      <c r="D1" s="67"/>
      <c r="E1" s="68" t="s">
        <v>77</v>
      </c>
      <c r="F1" s="68"/>
      <c r="G1" s="67" t="s">
        <v>78</v>
      </c>
      <c r="H1" s="67"/>
      <c r="I1" s="68" t="s">
        <v>79</v>
      </c>
      <c r="J1" s="68"/>
      <c r="K1" s="67" t="s">
        <v>80</v>
      </c>
      <c r="L1" s="67"/>
      <c r="M1" s="13"/>
    </row>
    <row r="2" spans="1:30" x14ac:dyDescent="0.25">
      <c r="A2" s="50" t="s">
        <v>15</v>
      </c>
      <c r="B2" s="50" t="s">
        <v>2</v>
      </c>
      <c r="C2" s="51" t="s">
        <v>15</v>
      </c>
      <c r="D2" s="51" t="s">
        <v>2</v>
      </c>
      <c r="E2" s="50" t="s">
        <v>15</v>
      </c>
      <c r="F2" s="50" t="s">
        <v>2</v>
      </c>
      <c r="G2" s="51" t="s">
        <v>15</v>
      </c>
      <c r="H2" s="51" t="s">
        <v>2</v>
      </c>
      <c r="I2" s="50" t="s">
        <v>15</v>
      </c>
      <c r="J2" s="50" t="s">
        <v>2</v>
      </c>
      <c r="K2" s="51" t="s">
        <v>15</v>
      </c>
      <c r="L2" s="51" t="s">
        <v>2</v>
      </c>
      <c r="M2" s="23"/>
      <c r="O2" s="23"/>
    </row>
    <row r="3" spans="1:30" x14ac:dyDescent="0.25">
      <c r="A3" s="14">
        <f>1778.51+0.0113</f>
        <v>1778.5212999999999</v>
      </c>
      <c r="B3" s="14">
        <v>74.736599999999996</v>
      </c>
      <c r="C3" s="14">
        <f>1778.51+0.0113</f>
        <v>1778.5212999999999</v>
      </c>
      <c r="D3" s="8">
        <v>147.47499999999999</v>
      </c>
      <c r="E3" s="14">
        <f>1778.51+0.0113</f>
        <v>1778.5212999999999</v>
      </c>
      <c r="F3" s="24">
        <v>79.040300000000002</v>
      </c>
      <c r="G3" s="14">
        <f>1778.51+0.0113</f>
        <v>1778.5212999999999</v>
      </c>
      <c r="H3" s="25">
        <v>127.517</v>
      </c>
      <c r="I3" s="14">
        <f>1778.51+0.0113</f>
        <v>1778.5212999999999</v>
      </c>
      <c r="J3" s="25">
        <v>73.6751</v>
      </c>
      <c r="K3" s="14">
        <f>1778.51+0.0113</f>
        <v>1778.5212999999999</v>
      </c>
      <c r="L3" s="24">
        <v>160.44999999999999</v>
      </c>
      <c r="N3" s="23"/>
      <c r="O3" s="26"/>
      <c r="P3" s="22"/>
      <c r="Q3" s="23"/>
      <c r="R3" s="23"/>
    </row>
    <row r="4" spans="1:30" x14ac:dyDescent="0.25">
      <c r="A4" s="14">
        <f>1778.51+0.0133</f>
        <v>1778.5233000000001</v>
      </c>
      <c r="B4" s="14">
        <v>68.710700000000003</v>
      </c>
      <c r="C4" s="14">
        <f>1778.51+0.0133</f>
        <v>1778.5233000000001</v>
      </c>
      <c r="D4" s="8">
        <v>144.89699999999999</v>
      </c>
      <c r="E4" s="14">
        <f>1778.51+0.0133</f>
        <v>1778.5233000000001</v>
      </c>
      <c r="F4" s="24">
        <v>76.180999999999997</v>
      </c>
      <c r="G4" s="14">
        <f>1778.51+0.0133</f>
        <v>1778.5233000000001</v>
      </c>
      <c r="H4" s="25">
        <v>131.124</v>
      </c>
      <c r="I4" s="24">
        <f>1778.51+0.0135</f>
        <v>1778.5235</v>
      </c>
      <c r="J4" s="25">
        <v>78.950299999999999</v>
      </c>
      <c r="K4" s="24">
        <f>1778.51+0.0135</f>
        <v>1778.5235</v>
      </c>
      <c r="L4" s="24">
        <v>161.49700000000001</v>
      </c>
      <c r="N4" s="23"/>
      <c r="O4" s="26"/>
      <c r="P4" s="22"/>
      <c r="Q4" s="23"/>
      <c r="R4" s="23"/>
      <c r="AD4" s="14" t="s">
        <v>51</v>
      </c>
    </row>
    <row r="5" spans="1:30" x14ac:dyDescent="0.25">
      <c r="A5" s="14">
        <f>1778.51+0.0153</f>
        <v>1778.5253</v>
      </c>
      <c r="B5" s="14">
        <v>73.349900000000005</v>
      </c>
      <c r="C5" s="14">
        <f>1778.51+0.0153</f>
        <v>1778.5253</v>
      </c>
      <c r="D5" s="8">
        <v>146.18199999999999</v>
      </c>
      <c r="E5" s="14">
        <f>1778.51+0.0153</f>
        <v>1778.5253</v>
      </c>
      <c r="F5" s="24">
        <v>75.246099999999998</v>
      </c>
      <c r="G5" s="14">
        <f>1778.51+0.0153</f>
        <v>1778.5253</v>
      </c>
      <c r="H5" s="25">
        <v>126.205</v>
      </c>
      <c r="I5" s="24">
        <f>1778.51+0.0155</f>
        <v>1778.5255</v>
      </c>
      <c r="J5" s="25">
        <v>95.761899999999997</v>
      </c>
      <c r="K5" s="24">
        <f>1778.51+0.0155</f>
        <v>1778.5255</v>
      </c>
      <c r="L5" s="24">
        <v>165.91800000000001</v>
      </c>
      <c r="N5" s="23"/>
      <c r="O5" s="26"/>
      <c r="P5" s="22"/>
      <c r="Q5" s="23"/>
      <c r="R5" s="23"/>
    </row>
    <row r="6" spans="1:30" x14ac:dyDescent="0.25">
      <c r="A6" s="14">
        <f>1778.51+0.0173</f>
        <v>1778.5273</v>
      </c>
      <c r="B6" s="14">
        <v>77.208299999999994</v>
      </c>
      <c r="C6" s="14">
        <f>1778.51+0.0173</f>
        <v>1778.5273</v>
      </c>
      <c r="D6" s="8">
        <v>137.535</v>
      </c>
      <c r="E6" s="14">
        <f>1778.51+0.0173</f>
        <v>1778.5273</v>
      </c>
      <c r="F6" s="24">
        <v>76.459000000000003</v>
      </c>
      <c r="G6" s="14">
        <f>1778.51+0.0173</f>
        <v>1778.5273</v>
      </c>
      <c r="H6" s="25">
        <v>124.843</v>
      </c>
      <c r="I6" s="24">
        <f>1778.51+0.0175</f>
        <v>1778.5274999999999</v>
      </c>
      <c r="J6" s="25">
        <v>89.4011</v>
      </c>
      <c r="K6" s="24">
        <f>1778.51+0.0175</f>
        <v>1778.5274999999999</v>
      </c>
      <c r="L6" s="24">
        <v>173.19399999999999</v>
      </c>
      <c r="N6" s="23"/>
      <c r="O6" s="15" t="s">
        <v>3</v>
      </c>
      <c r="Q6" s="23"/>
      <c r="R6" s="23"/>
    </row>
    <row r="7" spans="1:30" x14ac:dyDescent="0.25">
      <c r="A7" s="14">
        <f>1778.51+0.0193</f>
        <v>1778.5292999999999</v>
      </c>
      <c r="B7" s="14">
        <v>80.848799999999997</v>
      </c>
      <c r="C7" s="14">
        <f>1778.51+0.0193</f>
        <v>1778.5292999999999</v>
      </c>
      <c r="D7" s="8">
        <v>141.65799999999999</v>
      </c>
      <c r="E7" s="14">
        <f>1778.51+0.0193</f>
        <v>1778.5292999999999</v>
      </c>
      <c r="F7" s="8">
        <v>84.243399999999994</v>
      </c>
      <c r="G7" s="14">
        <f>1778.51+0.0193</f>
        <v>1778.5292999999999</v>
      </c>
      <c r="H7" s="25">
        <v>119.048</v>
      </c>
      <c r="I7" s="24">
        <f>1778.51+0.0195</f>
        <v>1778.5295000000001</v>
      </c>
      <c r="J7" s="25">
        <v>91.208699999999993</v>
      </c>
      <c r="K7" s="24">
        <f>1778.51+0.0195</f>
        <v>1778.5295000000001</v>
      </c>
      <c r="L7" s="24">
        <v>176.869</v>
      </c>
      <c r="N7" s="12" t="str">
        <f>A1</f>
        <v>Pre-Treatment - C1</v>
      </c>
      <c r="O7" s="27">
        <f>AVERAGE(B3:B67)</f>
        <v>77.378003333333311</v>
      </c>
      <c r="P7" s="22" t="s">
        <v>22</v>
      </c>
    </row>
    <row r="8" spans="1:30" x14ac:dyDescent="0.25">
      <c r="A8" s="14">
        <f>1778.51+0.0213</f>
        <v>1778.5313000000001</v>
      </c>
      <c r="B8" s="14">
        <v>94.187899999999999</v>
      </c>
      <c r="C8" s="14">
        <f>1778.51+0.0213</f>
        <v>1778.5313000000001</v>
      </c>
      <c r="D8" s="8">
        <v>142.02600000000001</v>
      </c>
      <c r="E8" s="14">
        <f>1778.51+0.0213</f>
        <v>1778.5313000000001</v>
      </c>
      <c r="F8" s="8">
        <v>88.951099999999997</v>
      </c>
      <c r="G8" s="14">
        <f>1778.51+0.0213</f>
        <v>1778.5313000000001</v>
      </c>
      <c r="H8" s="25">
        <v>118.503</v>
      </c>
      <c r="I8" s="24">
        <f>1778.51+0.0215</f>
        <v>1778.5315000000001</v>
      </c>
      <c r="J8" s="25">
        <v>81.769199999999998</v>
      </c>
      <c r="K8" s="24">
        <f>1778.51+0.0215</f>
        <v>1778.5315000000001</v>
      </c>
      <c r="L8" s="24">
        <v>174.816</v>
      </c>
      <c r="N8" s="12" t="str">
        <f>C1</f>
        <v>Post-Treatment - C1</v>
      </c>
      <c r="O8" s="27">
        <f>AVERAGE(D3:D67)</f>
        <v>157.63703333333328</v>
      </c>
      <c r="P8" s="22" t="s">
        <v>22</v>
      </c>
    </row>
    <row r="9" spans="1:30" x14ac:dyDescent="0.25">
      <c r="A9" s="14">
        <f>1778.51+0.0233</f>
        <v>1778.5333000000001</v>
      </c>
      <c r="B9" s="14">
        <v>101.762</v>
      </c>
      <c r="C9" s="14">
        <f>1778.51+0.0233</f>
        <v>1778.5333000000001</v>
      </c>
      <c r="D9" s="8">
        <v>140.98599999999999</v>
      </c>
      <c r="E9" s="14">
        <f>1778.51+0.0233</f>
        <v>1778.5333000000001</v>
      </c>
      <c r="F9" s="8">
        <v>83.707899999999995</v>
      </c>
      <c r="G9" s="14">
        <f>1778.51+0.0233</f>
        <v>1778.5333000000001</v>
      </c>
      <c r="H9" s="25">
        <v>113.797</v>
      </c>
      <c r="I9" s="24">
        <f>1778.51+0.0235</f>
        <v>1778.5335</v>
      </c>
      <c r="J9" s="25">
        <v>76.314800000000005</v>
      </c>
      <c r="K9" s="24">
        <f>1778.51+0.0235</f>
        <v>1778.5335</v>
      </c>
      <c r="L9" s="24">
        <v>178.374</v>
      </c>
      <c r="N9" s="12" t="str">
        <f>E1</f>
        <v>Pre-Treatment - C2</v>
      </c>
      <c r="O9" s="27">
        <f>AVERAGE(F3:F61)</f>
        <v>75.966222033898305</v>
      </c>
      <c r="P9" s="22" t="s">
        <v>22</v>
      </c>
    </row>
    <row r="10" spans="1:30" x14ac:dyDescent="0.25">
      <c r="A10" s="14">
        <f>1778.51+0.0253</f>
        <v>1778.5353</v>
      </c>
      <c r="B10" s="14">
        <v>94.466999999999999</v>
      </c>
      <c r="C10" s="14">
        <f>1778.51+0.0253</f>
        <v>1778.5353</v>
      </c>
      <c r="D10" s="8">
        <v>139.637</v>
      </c>
      <c r="E10" s="14">
        <f>1778.51+0.0253</f>
        <v>1778.5353</v>
      </c>
      <c r="F10" s="8">
        <v>79.581999999999994</v>
      </c>
      <c r="G10" s="14">
        <f>1778.51+0.0253</f>
        <v>1778.5353</v>
      </c>
      <c r="H10" s="25">
        <v>104.206</v>
      </c>
      <c r="I10" s="24">
        <f>1778.51+0.0255</f>
        <v>1778.5355</v>
      </c>
      <c r="J10" s="25">
        <v>62.358199999999997</v>
      </c>
      <c r="K10" s="24">
        <f>1778.51+0.0255</f>
        <v>1778.5355</v>
      </c>
      <c r="L10" s="24">
        <v>182.23500000000001</v>
      </c>
      <c r="N10" s="12" t="str">
        <f>G1</f>
        <v>Post-Treatment - C2</v>
      </c>
      <c r="O10" s="27">
        <f>AVERAGE(H3:H61)</f>
        <v>97.028567796610162</v>
      </c>
      <c r="P10" s="22" t="s">
        <v>22</v>
      </c>
    </row>
    <row r="11" spans="1:30" x14ac:dyDescent="0.25">
      <c r="A11" s="14">
        <f>1778.51+0.0273</f>
        <v>1778.5373</v>
      </c>
      <c r="B11" s="14">
        <v>75.555300000000003</v>
      </c>
      <c r="C11" s="14">
        <f>1778.51+0.0273</f>
        <v>1778.5373</v>
      </c>
      <c r="D11" s="8">
        <v>147.042</v>
      </c>
      <c r="E11" s="14">
        <f>1778.51+0.0273</f>
        <v>1778.5373</v>
      </c>
      <c r="F11" s="14">
        <v>80.465800000000002</v>
      </c>
      <c r="G11" s="14">
        <f>1778.51+0.0273</f>
        <v>1778.5373</v>
      </c>
      <c r="H11" s="14">
        <v>103.96599999999999</v>
      </c>
      <c r="I11" s="8">
        <f>1778.51+0.0275</f>
        <v>1778.5374999999999</v>
      </c>
      <c r="J11" s="8">
        <v>68.309700000000007</v>
      </c>
      <c r="K11" s="8">
        <f>1778.51+0.0275</f>
        <v>1778.5374999999999</v>
      </c>
      <c r="L11" s="8">
        <v>185.958</v>
      </c>
      <c r="N11" s="12" t="str">
        <f>I1</f>
        <v>Pre-Treatment - C3</v>
      </c>
      <c r="O11" s="27">
        <f>AVERAGE(J3:J49)</f>
        <v>78.920306382978751</v>
      </c>
      <c r="P11" s="22" t="s">
        <v>22</v>
      </c>
    </row>
    <row r="12" spans="1:30" x14ac:dyDescent="0.25">
      <c r="A12" s="14">
        <f>1778.51+0.0293</f>
        <v>1778.5392999999999</v>
      </c>
      <c r="B12" s="14">
        <v>71.816500000000005</v>
      </c>
      <c r="C12" s="14">
        <f>1778.51+0.0293</f>
        <v>1778.5392999999999</v>
      </c>
      <c r="D12" s="8">
        <v>152.85</v>
      </c>
      <c r="E12" s="14">
        <f>1778.51+0.0293</f>
        <v>1778.5392999999999</v>
      </c>
      <c r="F12" s="14">
        <v>76.224900000000005</v>
      </c>
      <c r="G12" s="14">
        <f>1778.51+0.0293</f>
        <v>1778.5392999999999</v>
      </c>
      <c r="H12" s="14">
        <v>102.47</v>
      </c>
      <c r="I12" s="8">
        <f>1778.51+0.0295</f>
        <v>1778.5395000000001</v>
      </c>
      <c r="J12" s="8">
        <v>75.266499999999994</v>
      </c>
      <c r="K12" s="8">
        <f>1778.51+0.0295</f>
        <v>1778.5395000000001</v>
      </c>
      <c r="L12" s="8">
        <v>183.42</v>
      </c>
      <c r="N12" s="12" t="str">
        <f>K1</f>
        <v>Post-Treatment - C3</v>
      </c>
      <c r="O12" s="27">
        <f>AVERAGE(L3:L49)</f>
        <v>165.19789361702126</v>
      </c>
      <c r="P12" s="22" t="s">
        <v>22</v>
      </c>
    </row>
    <row r="13" spans="1:30" x14ac:dyDescent="0.25">
      <c r="A13" s="14">
        <f>1778.51+0.0313</f>
        <v>1778.5413000000001</v>
      </c>
      <c r="B13" s="14">
        <v>66.632499999999993</v>
      </c>
      <c r="C13" s="14">
        <f>1778.51+0.0313</f>
        <v>1778.5413000000001</v>
      </c>
      <c r="D13" s="8">
        <v>148.61000000000001</v>
      </c>
      <c r="E13" s="14">
        <f>1778.51+0.0313</f>
        <v>1778.5413000000001</v>
      </c>
      <c r="F13" s="14">
        <v>71.318899999999999</v>
      </c>
      <c r="G13" s="14">
        <f>1778.51+0.0313</f>
        <v>1778.5413000000001</v>
      </c>
      <c r="H13" s="14">
        <v>98.962299999999999</v>
      </c>
      <c r="I13" s="8">
        <f>1778.51+0.0315</f>
        <v>1778.5415</v>
      </c>
      <c r="J13" s="8">
        <v>69.441999999999993</v>
      </c>
      <c r="K13" s="8">
        <f>1778.51+0.0315</f>
        <v>1778.5415</v>
      </c>
      <c r="L13" s="8">
        <v>183.09</v>
      </c>
      <c r="N13" s="12"/>
      <c r="O13" s="27"/>
      <c r="P13" s="22" t="s">
        <v>22</v>
      </c>
    </row>
    <row r="14" spans="1:30" x14ac:dyDescent="0.25">
      <c r="A14" s="14">
        <f>1778.51+0.0333</f>
        <v>1778.5433</v>
      </c>
      <c r="B14" s="14">
        <v>59.647599999999997</v>
      </c>
      <c r="C14" s="14">
        <f>1778.51+0.0333</f>
        <v>1778.5433</v>
      </c>
      <c r="D14" s="8">
        <v>151.059</v>
      </c>
      <c r="E14" s="14">
        <f>1778.51+0.0333</f>
        <v>1778.5433</v>
      </c>
      <c r="F14" s="14">
        <v>75.740499999999997</v>
      </c>
      <c r="G14" s="14">
        <f>1778.51+0.0333</f>
        <v>1778.5433</v>
      </c>
      <c r="H14" s="14">
        <v>99.639700000000005</v>
      </c>
      <c r="I14" s="8">
        <f>1778.51+0.0335</f>
        <v>1778.5435</v>
      </c>
      <c r="J14" s="8">
        <v>67.846500000000006</v>
      </c>
      <c r="K14" s="8">
        <f>1778.51+0.0335</f>
        <v>1778.5435</v>
      </c>
      <c r="L14" s="8">
        <v>180.143</v>
      </c>
      <c r="N14" s="12"/>
      <c r="O14" s="27"/>
      <c r="P14" s="22" t="s">
        <v>22</v>
      </c>
    </row>
    <row r="15" spans="1:30" x14ac:dyDescent="0.25">
      <c r="A15" s="14">
        <f>1778.51+0.0353</f>
        <v>1778.5453</v>
      </c>
      <c r="B15" s="14">
        <v>73.034700000000001</v>
      </c>
      <c r="C15" s="14">
        <f>1778.51+0.0353</f>
        <v>1778.5453</v>
      </c>
      <c r="D15" s="8">
        <v>154.673</v>
      </c>
      <c r="E15" s="14">
        <f>1778.51+0.0353</f>
        <v>1778.5453</v>
      </c>
      <c r="F15" s="14">
        <v>79.584000000000003</v>
      </c>
      <c r="G15" s="14">
        <f>1778.51+0.0353</f>
        <v>1778.5453</v>
      </c>
      <c r="H15" s="14">
        <v>105.10599999999999</v>
      </c>
      <c r="I15" s="8">
        <f>1778.51+0.0355</f>
        <v>1778.5454999999999</v>
      </c>
      <c r="J15" s="8">
        <v>79.004000000000005</v>
      </c>
      <c r="K15" s="8">
        <f>1778.51+0.0355</f>
        <v>1778.5454999999999</v>
      </c>
      <c r="L15" s="8">
        <v>174.25899999999999</v>
      </c>
      <c r="P15" s="22" t="s">
        <v>22</v>
      </c>
    </row>
    <row r="16" spans="1:30" x14ac:dyDescent="0.25">
      <c r="A16" s="14">
        <f>1778.51+0.0373</f>
        <v>1778.5473</v>
      </c>
      <c r="B16" s="14">
        <v>88.783600000000007</v>
      </c>
      <c r="C16" s="14">
        <f>1778.51+0.0373</f>
        <v>1778.5473</v>
      </c>
      <c r="D16" s="8">
        <v>153.501</v>
      </c>
      <c r="E16" s="14">
        <f>1778.51+0.0373</f>
        <v>1778.5473</v>
      </c>
      <c r="F16" s="14">
        <v>76.139300000000006</v>
      </c>
      <c r="G16" s="14">
        <f>1778.51+0.0373</f>
        <v>1778.5473</v>
      </c>
      <c r="H16" s="14">
        <v>103.464</v>
      </c>
      <c r="I16" s="8">
        <f>1778.51+0.0375</f>
        <v>1778.5474999999999</v>
      </c>
      <c r="J16" s="8">
        <v>68.968999999999994</v>
      </c>
      <c r="K16" s="8">
        <f>1778.51+0.0375</f>
        <v>1778.5474999999999</v>
      </c>
      <c r="L16" s="8">
        <v>167.70500000000001</v>
      </c>
      <c r="P16" s="22" t="s">
        <v>22</v>
      </c>
    </row>
    <row r="17" spans="1:30" x14ac:dyDescent="0.25">
      <c r="A17" s="14">
        <f>1778.51+0.0393</f>
        <v>1778.5492999999999</v>
      </c>
      <c r="B17" s="14">
        <v>86.958500000000001</v>
      </c>
      <c r="C17" s="14">
        <f>1778.51+0.0393</f>
        <v>1778.5492999999999</v>
      </c>
      <c r="D17" s="8">
        <v>148.20699999999999</v>
      </c>
      <c r="E17" s="14">
        <f>1778.51+0.0393</f>
        <v>1778.5492999999999</v>
      </c>
      <c r="F17" s="14">
        <v>77.212500000000006</v>
      </c>
      <c r="G17" s="14">
        <f>1778.51+0.0393</f>
        <v>1778.5492999999999</v>
      </c>
      <c r="H17" s="14">
        <v>100.239</v>
      </c>
      <c r="I17" s="8">
        <f>1778.51+0.0395</f>
        <v>1778.5495000000001</v>
      </c>
      <c r="J17" s="8">
        <v>64.428299999999993</v>
      </c>
      <c r="K17" s="8">
        <f>1778.51+0.0395</f>
        <v>1778.5495000000001</v>
      </c>
      <c r="L17" s="8">
        <v>168.93199999999999</v>
      </c>
      <c r="N17" s="12"/>
      <c r="O17" s="27"/>
      <c r="P17" s="22" t="s">
        <v>22</v>
      </c>
    </row>
    <row r="18" spans="1:30" x14ac:dyDescent="0.25">
      <c r="A18" s="14">
        <f>1778.51+0.0413</f>
        <v>1778.5513000000001</v>
      </c>
      <c r="B18" s="14">
        <v>86.875900000000001</v>
      </c>
      <c r="C18" s="14">
        <f>1778.51+0.0413</f>
        <v>1778.5513000000001</v>
      </c>
      <c r="D18" s="8">
        <v>152.93600000000001</v>
      </c>
      <c r="E18" s="14">
        <f>1778.51+0.0413</f>
        <v>1778.5513000000001</v>
      </c>
      <c r="F18" s="14">
        <v>80.040199999999999</v>
      </c>
      <c r="G18" s="14">
        <f>1778.51+0.0413</f>
        <v>1778.5513000000001</v>
      </c>
      <c r="H18" s="14">
        <v>101.169</v>
      </c>
      <c r="I18" s="8">
        <f>1778.51+0.0415</f>
        <v>1778.5515</v>
      </c>
      <c r="J18" s="8">
        <v>77.513900000000007</v>
      </c>
      <c r="K18" s="8">
        <f>1778.51+0.0415</f>
        <v>1778.5515</v>
      </c>
      <c r="L18" s="8">
        <v>173.04300000000001</v>
      </c>
    </row>
    <row r="19" spans="1:30" x14ac:dyDescent="0.25">
      <c r="A19" s="14">
        <f>1778.51+0.0433</f>
        <v>1778.5533</v>
      </c>
      <c r="B19" s="14">
        <v>78.211299999999994</v>
      </c>
      <c r="C19" s="14">
        <f>1778.51+0.0433</f>
        <v>1778.5533</v>
      </c>
      <c r="D19" s="8">
        <v>157.44800000000001</v>
      </c>
      <c r="E19" s="14">
        <f>1778.51+0.0433</f>
        <v>1778.5533</v>
      </c>
      <c r="F19" s="14">
        <v>79.929900000000004</v>
      </c>
      <c r="G19" s="14">
        <f>1778.51+0.0433</f>
        <v>1778.5533</v>
      </c>
      <c r="H19" s="14">
        <v>103.98699999999999</v>
      </c>
      <c r="I19" s="8">
        <f>1778.51+0.0435</f>
        <v>1778.5535</v>
      </c>
      <c r="J19" s="8">
        <v>86.900400000000005</v>
      </c>
      <c r="K19" s="8">
        <f>1778.51+0.0435</f>
        <v>1778.5535</v>
      </c>
      <c r="L19" s="8">
        <v>172.19300000000001</v>
      </c>
    </row>
    <row r="20" spans="1:30" x14ac:dyDescent="0.25">
      <c r="A20" s="14">
        <f>1778.51+0.0453</f>
        <v>1778.5553</v>
      </c>
      <c r="B20" s="14">
        <v>72.222099999999998</v>
      </c>
      <c r="C20" s="14">
        <f>1778.51+0.0453</f>
        <v>1778.5553</v>
      </c>
      <c r="D20" s="8">
        <v>153.239</v>
      </c>
      <c r="E20" s="14">
        <f>1778.51+0.0453</f>
        <v>1778.5553</v>
      </c>
      <c r="F20" s="14">
        <v>77.357100000000003</v>
      </c>
      <c r="G20" s="14">
        <f>1778.51+0.0453</f>
        <v>1778.5553</v>
      </c>
      <c r="H20" s="14">
        <v>103.65300000000001</v>
      </c>
      <c r="I20" s="8">
        <f>1778.51+0.0455</f>
        <v>1778.5554999999999</v>
      </c>
      <c r="J20" s="8">
        <v>76.942999999999998</v>
      </c>
      <c r="K20" s="8">
        <f>1778.51+0.0455</f>
        <v>1778.5554999999999</v>
      </c>
      <c r="L20" s="8">
        <v>166.636</v>
      </c>
    </row>
    <row r="21" spans="1:30" x14ac:dyDescent="0.25">
      <c r="A21" s="14">
        <f>1778.51+0.0473</f>
        <v>1778.5572999999999</v>
      </c>
      <c r="B21" s="14">
        <v>66.088899999999995</v>
      </c>
      <c r="C21" s="14">
        <f>1778.51+0.0473</f>
        <v>1778.5572999999999</v>
      </c>
      <c r="D21" s="8">
        <v>149.35400000000001</v>
      </c>
      <c r="E21" s="14">
        <f>1778.51+0.0473</f>
        <v>1778.5572999999999</v>
      </c>
      <c r="F21" s="14">
        <v>78.930899999999994</v>
      </c>
      <c r="G21" s="14">
        <f>1778.51+0.0473</f>
        <v>1778.5572999999999</v>
      </c>
      <c r="H21" s="14">
        <v>104.979</v>
      </c>
      <c r="I21" s="8">
        <f>1778.51+0.0475</f>
        <v>1778.5574999999999</v>
      </c>
      <c r="J21" s="8">
        <v>75.043300000000002</v>
      </c>
      <c r="K21" s="8">
        <f>1778.51+0.0475</f>
        <v>1778.5574999999999</v>
      </c>
      <c r="L21" s="8">
        <v>157.88300000000001</v>
      </c>
    </row>
    <row r="22" spans="1:30" x14ac:dyDescent="0.25">
      <c r="A22" s="14">
        <f>1778.51+0.0493</f>
        <v>1778.5592999999999</v>
      </c>
      <c r="B22" s="14">
        <v>74.639700000000005</v>
      </c>
      <c r="C22" s="14">
        <f>1778.51+0.0493</f>
        <v>1778.5592999999999</v>
      </c>
      <c r="D22" s="8">
        <v>152.28299999999999</v>
      </c>
      <c r="E22" s="14">
        <f>1778.51+0.0493</f>
        <v>1778.5592999999999</v>
      </c>
      <c r="F22" s="14">
        <v>77.415400000000005</v>
      </c>
      <c r="G22" s="14">
        <f>1778.51+0.0493</f>
        <v>1778.5592999999999</v>
      </c>
      <c r="H22" s="14">
        <v>105.452</v>
      </c>
      <c r="I22" s="8">
        <f>1778.51+0.0495</f>
        <v>1778.5595000000001</v>
      </c>
      <c r="J22" s="8">
        <v>76.197800000000001</v>
      </c>
      <c r="K22" s="8">
        <f>1778.51+0.0495</f>
        <v>1778.5595000000001</v>
      </c>
      <c r="L22" s="8">
        <v>148.83000000000001</v>
      </c>
    </row>
    <row r="23" spans="1:30" x14ac:dyDescent="0.25">
      <c r="A23" s="14">
        <f>1778.51+0.0513</f>
        <v>1778.5613000000001</v>
      </c>
      <c r="B23" s="14">
        <v>65.676000000000002</v>
      </c>
      <c r="C23" s="14">
        <f>1778.51+0.0513</f>
        <v>1778.5613000000001</v>
      </c>
      <c r="D23" s="8">
        <v>151.375</v>
      </c>
      <c r="E23" s="14">
        <f>1778.51+0.0513</f>
        <v>1778.5613000000001</v>
      </c>
      <c r="F23" s="14">
        <v>70.711100000000002</v>
      </c>
      <c r="G23" s="14">
        <f>1778.51+0.0513</f>
        <v>1778.5613000000001</v>
      </c>
      <c r="H23" s="14">
        <v>102.46599999999999</v>
      </c>
      <c r="I23" s="8">
        <f>1778.51+0.0515</f>
        <v>1778.5615</v>
      </c>
      <c r="J23" s="8">
        <v>81.731899999999996</v>
      </c>
      <c r="K23" s="8">
        <f>1778.51+0.0515</f>
        <v>1778.5615</v>
      </c>
      <c r="L23" s="8">
        <v>148.15799999999999</v>
      </c>
    </row>
    <row r="24" spans="1:30" x14ac:dyDescent="0.25">
      <c r="A24" s="14">
        <f>1778.51+0.0533</f>
        <v>1778.5633</v>
      </c>
      <c r="B24" s="14">
        <v>81.238900000000001</v>
      </c>
      <c r="C24" s="14">
        <f>1778.51+0.0533</f>
        <v>1778.5633</v>
      </c>
      <c r="D24" s="8">
        <v>148.881</v>
      </c>
      <c r="E24" s="14">
        <f>1778.51+0.0533</f>
        <v>1778.5633</v>
      </c>
      <c r="F24" s="14">
        <v>68.130899999999997</v>
      </c>
      <c r="G24" s="14">
        <f>1778.51+0.0533</f>
        <v>1778.5633</v>
      </c>
      <c r="H24" s="14">
        <v>93.504300000000001</v>
      </c>
      <c r="I24" s="8">
        <f>1778.51+0.0535</f>
        <v>1778.5635</v>
      </c>
      <c r="J24" s="8">
        <v>83.7226</v>
      </c>
      <c r="K24" s="8">
        <f>1778.51+0.0535</f>
        <v>1778.5635</v>
      </c>
      <c r="L24" s="8">
        <v>150.44300000000001</v>
      </c>
    </row>
    <row r="25" spans="1:30" x14ac:dyDescent="0.25">
      <c r="A25" s="14">
        <f>1778.51+0.0553</f>
        <v>1778.5653</v>
      </c>
      <c r="B25" s="14">
        <v>87.964500000000001</v>
      </c>
      <c r="C25" s="14">
        <f>1778.51+0.0553</f>
        <v>1778.5653</v>
      </c>
      <c r="D25" s="8">
        <v>151.68899999999999</v>
      </c>
      <c r="E25" s="14">
        <f>1778.51+0.0553</f>
        <v>1778.5653</v>
      </c>
      <c r="F25" s="14">
        <v>70.027199999999993</v>
      </c>
      <c r="G25" s="14">
        <f>1778.51+0.0553</f>
        <v>1778.5653</v>
      </c>
      <c r="H25" s="14">
        <v>88.058400000000006</v>
      </c>
      <c r="I25" s="8">
        <f>1778.51+0.0555</f>
        <v>1778.5654999999999</v>
      </c>
      <c r="J25" s="8">
        <v>90.6023</v>
      </c>
      <c r="K25" s="8">
        <f>1778.51+0.0555</f>
        <v>1778.5654999999999</v>
      </c>
      <c r="L25" s="8">
        <v>155.22200000000001</v>
      </c>
    </row>
    <row r="26" spans="1:30" x14ac:dyDescent="0.25">
      <c r="A26" s="14">
        <f>1778.51+0.0573</f>
        <v>1778.5672999999999</v>
      </c>
      <c r="B26" s="14">
        <v>102.437</v>
      </c>
      <c r="C26" s="14">
        <f>1778.51+0.0573</f>
        <v>1778.5672999999999</v>
      </c>
      <c r="D26" s="8">
        <v>158.77000000000001</v>
      </c>
      <c r="E26" s="14">
        <f>1778.51+0.0573</f>
        <v>1778.5672999999999</v>
      </c>
      <c r="F26" s="14">
        <v>72.632599999999996</v>
      </c>
      <c r="G26" s="14">
        <f>1778.51+0.0573</f>
        <v>1778.5672999999999</v>
      </c>
      <c r="H26" s="14">
        <v>90.951400000000007</v>
      </c>
      <c r="I26" s="8">
        <f>1778.51+0.0575</f>
        <v>1778.5674999999999</v>
      </c>
      <c r="J26" s="8">
        <v>98.823899999999995</v>
      </c>
      <c r="K26" s="8">
        <f>1778.51+0.0575</f>
        <v>1778.5674999999999</v>
      </c>
      <c r="L26" s="8">
        <v>163.43700000000001</v>
      </c>
      <c r="N26" s="2"/>
      <c r="O26" s="15" t="s">
        <v>3</v>
      </c>
      <c r="P26"/>
    </row>
    <row r="27" spans="1:30" x14ac:dyDescent="0.25">
      <c r="A27" s="14">
        <f>1778.51+0.0593</f>
        <v>1778.5692999999999</v>
      </c>
      <c r="B27" s="14">
        <v>92.365300000000005</v>
      </c>
      <c r="C27" s="14">
        <f>1778.51+0.0593</f>
        <v>1778.5692999999999</v>
      </c>
      <c r="D27" s="8">
        <v>159.96100000000001</v>
      </c>
      <c r="E27" s="14">
        <f>1778.51+0.0593</f>
        <v>1778.5692999999999</v>
      </c>
      <c r="F27" s="14">
        <v>73.171899999999994</v>
      </c>
      <c r="G27" s="14">
        <f>1778.51+0.0593</f>
        <v>1778.5692999999999</v>
      </c>
      <c r="H27" s="14">
        <v>91.9636</v>
      </c>
      <c r="I27" s="8">
        <f>1778.51+0.0595</f>
        <v>1778.5695000000001</v>
      </c>
      <c r="J27" s="8">
        <v>103.761</v>
      </c>
      <c r="K27" s="8">
        <f>1778.51+0.0595</f>
        <v>1778.5695000000001</v>
      </c>
      <c r="L27" s="8">
        <v>170.233</v>
      </c>
      <c r="N27" s="12" t="s">
        <v>30</v>
      </c>
      <c r="O27" s="27">
        <f>O7</f>
        <v>77.378003333333311</v>
      </c>
      <c r="P27" s="30" t="s">
        <v>14</v>
      </c>
    </row>
    <row r="28" spans="1:30" x14ac:dyDescent="0.25">
      <c r="A28" s="14">
        <f>1778.51+0.0613</f>
        <v>1778.5713000000001</v>
      </c>
      <c r="B28" s="14">
        <v>114.07</v>
      </c>
      <c r="C28" s="14">
        <f>1778.51+0.0613</f>
        <v>1778.5713000000001</v>
      </c>
      <c r="D28" s="8">
        <v>158.93</v>
      </c>
      <c r="E28" s="14">
        <f>1778.51+0.0613</f>
        <v>1778.5713000000001</v>
      </c>
      <c r="F28" s="14">
        <v>76.289000000000001</v>
      </c>
      <c r="G28" s="14">
        <f>1778.51+0.0613</f>
        <v>1778.5713000000001</v>
      </c>
      <c r="H28" s="14">
        <v>92.831900000000005</v>
      </c>
      <c r="I28" s="8">
        <f>1778.51+0.0615</f>
        <v>1778.5715</v>
      </c>
      <c r="J28" s="8">
        <v>93.120999999999995</v>
      </c>
      <c r="K28" s="8">
        <f>1778.51+0.0615</f>
        <v>1778.5715</v>
      </c>
      <c r="L28" s="8">
        <v>167.108</v>
      </c>
      <c r="N28" s="12" t="s">
        <v>31</v>
      </c>
      <c r="O28" s="27">
        <f>O9</f>
        <v>75.966222033898305</v>
      </c>
      <c r="P28" s="30" t="s">
        <v>14</v>
      </c>
      <c r="AD28" s="14" t="s">
        <v>52</v>
      </c>
    </row>
    <row r="29" spans="1:30" x14ac:dyDescent="0.25">
      <c r="A29" s="14">
        <f>1778.51+0.0633</f>
        <v>1778.5733</v>
      </c>
      <c r="B29" s="14">
        <v>118.73099999999999</v>
      </c>
      <c r="C29" s="14">
        <f>1778.51+0.0633</f>
        <v>1778.5733</v>
      </c>
      <c r="D29" s="8">
        <v>156.886</v>
      </c>
      <c r="E29" s="14">
        <f>1778.51+0.0633</f>
        <v>1778.5733</v>
      </c>
      <c r="F29" s="14">
        <v>74.491500000000002</v>
      </c>
      <c r="G29" s="14">
        <f>1778.51+0.0633</f>
        <v>1778.5733</v>
      </c>
      <c r="H29" s="14">
        <v>93.378699999999995</v>
      </c>
      <c r="I29" s="8">
        <f>1778.51+0.0635</f>
        <v>1778.5735</v>
      </c>
      <c r="J29" s="8">
        <v>87.564800000000005</v>
      </c>
      <c r="K29" s="8">
        <f>1778.51+0.0635</f>
        <v>1778.5735</v>
      </c>
      <c r="L29" s="8">
        <v>161.28700000000001</v>
      </c>
      <c r="N29" s="1" t="s">
        <v>32</v>
      </c>
      <c r="O29" s="27">
        <f>O11</f>
        <v>78.920306382978751</v>
      </c>
      <c r="P29" s="30" t="s">
        <v>14</v>
      </c>
    </row>
    <row r="30" spans="1:30" x14ac:dyDescent="0.25">
      <c r="A30" s="14">
        <f>1778.51+0.0653</f>
        <v>1778.5753</v>
      </c>
      <c r="B30" s="14">
        <v>100.288</v>
      </c>
      <c r="C30" s="14">
        <f>1778.51+0.0653</f>
        <v>1778.5753</v>
      </c>
      <c r="D30" s="8">
        <v>156.01900000000001</v>
      </c>
      <c r="E30" s="14">
        <f>1778.51+0.0653</f>
        <v>1778.5753</v>
      </c>
      <c r="F30" s="14">
        <v>71.538899999999998</v>
      </c>
      <c r="G30" s="14">
        <f>1778.51+0.0653</f>
        <v>1778.5753</v>
      </c>
      <c r="H30" s="14">
        <v>92.071399999999997</v>
      </c>
      <c r="I30" s="8">
        <f>1778.51+0.0655</f>
        <v>1778.5754999999999</v>
      </c>
      <c r="J30" s="8">
        <v>81.144300000000001</v>
      </c>
      <c r="K30" s="8">
        <f>1778.51+0.0655</f>
        <v>1778.5754999999999</v>
      </c>
      <c r="L30" s="8">
        <v>155.66399999999999</v>
      </c>
      <c r="N30" s="12" t="s">
        <v>34</v>
      </c>
      <c r="O30" s="27">
        <f>O8</f>
        <v>157.63703333333328</v>
      </c>
      <c r="P30" s="30" t="s">
        <v>14</v>
      </c>
    </row>
    <row r="31" spans="1:30" x14ac:dyDescent="0.25">
      <c r="A31" s="14">
        <f>1778.51+0.0673</f>
        <v>1778.5772999999999</v>
      </c>
      <c r="B31" s="14">
        <v>67.980699999999999</v>
      </c>
      <c r="C31" s="14">
        <f>1778.51+0.0673</f>
        <v>1778.5772999999999</v>
      </c>
      <c r="D31" s="8">
        <v>156.124</v>
      </c>
      <c r="E31" s="14">
        <f>1778.51+0.0673</f>
        <v>1778.5772999999999</v>
      </c>
      <c r="F31" s="14">
        <v>67.787599999999998</v>
      </c>
      <c r="G31" s="14">
        <f>1778.51+0.0673</f>
        <v>1778.5772999999999</v>
      </c>
      <c r="H31" s="14">
        <v>86.972499999999997</v>
      </c>
      <c r="I31" s="8">
        <f>1778.51+0.0675</f>
        <v>1778.5775000000001</v>
      </c>
      <c r="J31" s="8">
        <v>80.578199999999995</v>
      </c>
      <c r="K31" s="8">
        <f>1778.51+0.0675</f>
        <v>1778.5775000000001</v>
      </c>
      <c r="L31" s="8">
        <v>157.02199999999999</v>
      </c>
      <c r="N31" s="12" t="s">
        <v>35</v>
      </c>
      <c r="O31" s="27">
        <f>O10</f>
        <v>97.028567796610162</v>
      </c>
      <c r="P31" s="30" t="s">
        <v>14</v>
      </c>
    </row>
    <row r="32" spans="1:30" x14ac:dyDescent="0.25">
      <c r="A32" s="14">
        <f>1778.51+0.0693</f>
        <v>1778.5793000000001</v>
      </c>
      <c r="B32" s="14">
        <v>59.901299999999999</v>
      </c>
      <c r="C32" s="14">
        <f>1778.51+0.0693</f>
        <v>1778.5793000000001</v>
      </c>
      <c r="D32" s="8">
        <v>149.37100000000001</v>
      </c>
      <c r="E32" s="14">
        <f>1778.51+0.0693</f>
        <v>1778.5793000000001</v>
      </c>
      <c r="F32" s="14">
        <v>72.207099999999997</v>
      </c>
      <c r="G32" s="14">
        <f>1778.51+0.0693</f>
        <v>1778.5793000000001</v>
      </c>
      <c r="H32" s="14">
        <v>87.7376</v>
      </c>
      <c r="I32" s="8">
        <f>1778.51+0.0695</f>
        <v>1778.5795000000001</v>
      </c>
      <c r="J32" s="8">
        <v>76.536000000000001</v>
      </c>
      <c r="K32" s="8">
        <f>1778.51+0.0695</f>
        <v>1778.5795000000001</v>
      </c>
      <c r="L32" s="8">
        <v>154.846</v>
      </c>
      <c r="N32" s="12" t="s">
        <v>33</v>
      </c>
      <c r="O32" s="27">
        <f>O12</f>
        <v>165.19789361702126</v>
      </c>
      <c r="P32" s="30" t="s">
        <v>14</v>
      </c>
    </row>
    <row r="33" spans="1:16" x14ac:dyDescent="0.25">
      <c r="A33" s="14">
        <f>1778.51+0.0713</f>
        <v>1778.5813000000001</v>
      </c>
      <c r="B33" s="14">
        <v>49.908700000000003</v>
      </c>
      <c r="C33" s="14">
        <f>1778.51+0.0713</f>
        <v>1778.5813000000001</v>
      </c>
      <c r="D33" s="8">
        <v>149.11000000000001</v>
      </c>
      <c r="E33" s="14">
        <f>1778.51+0.0713</f>
        <v>1778.5813000000001</v>
      </c>
      <c r="F33" s="14">
        <v>79.667100000000005</v>
      </c>
      <c r="G33" s="14">
        <f>1778.51+0.0713</f>
        <v>1778.5813000000001</v>
      </c>
      <c r="H33" s="14">
        <v>92.201499999999996</v>
      </c>
      <c r="I33" s="8">
        <f>1778.51+0.0715</f>
        <v>1778.5815</v>
      </c>
      <c r="J33" s="8">
        <v>81.992900000000006</v>
      </c>
      <c r="K33" s="8">
        <f>1778.51+0.0715</f>
        <v>1778.5815</v>
      </c>
      <c r="L33" s="8">
        <v>156.803</v>
      </c>
    </row>
    <row r="34" spans="1:16" x14ac:dyDescent="0.25">
      <c r="A34" s="14">
        <f>1778.51+0.0733</f>
        <v>1778.5833</v>
      </c>
      <c r="B34" s="14">
        <v>56.125799999999998</v>
      </c>
      <c r="C34" s="14">
        <f>1778.51+0.0733</f>
        <v>1778.5833</v>
      </c>
      <c r="D34" s="8">
        <v>150.47800000000001</v>
      </c>
      <c r="E34" s="14">
        <f>1778.51+0.0733</f>
        <v>1778.5833</v>
      </c>
      <c r="F34" s="14">
        <v>85.516199999999998</v>
      </c>
      <c r="G34" s="14">
        <f>1778.51+0.0733</f>
        <v>1778.5833</v>
      </c>
      <c r="H34" s="14">
        <v>100.354</v>
      </c>
      <c r="I34" s="8">
        <f>1778.51+0.0735</f>
        <v>1778.5835</v>
      </c>
      <c r="J34" s="8">
        <v>83.0471</v>
      </c>
      <c r="K34" s="8">
        <f>1778.51+0.0735</f>
        <v>1778.5835</v>
      </c>
      <c r="L34" s="8">
        <v>154.20699999999999</v>
      </c>
      <c r="N34" s="12"/>
      <c r="O34" s="27"/>
      <c r="P34" s="30"/>
    </row>
    <row r="35" spans="1:16" x14ac:dyDescent="0.25">
      <c r="A35" s="14">
        <f>1778.51+0.0753</f>
        <v>1778.5853</v>
      </c>
      <c r="B35" s="14">
        <v>65.416499999999999</v>
      </c>
      <c r="C35" s="14">
        <f>1778.51+0.0753</f>
        <v>1778.5853</v>
      </c>
      <c r="D35" s="8">
        <v>151.994</v>
      </c>
      <c r="E35" s="14">
        <f>1778.51+0.0753</f>
        <v>1778.5853</v>
      </c>
      <c r="F35" s="14">
        <v>88.798100000000005</v>
      </c>
      <c r="G35" s="14">
        <f>1778.51+0.0753</f>
        <v>1778.5853</v>
      </c>
      <c r="H35" s="14">
        <v>106.17700000000001</v>
      </c>
      <c r="I35" s="8">
        <f>1778.51+0.0755</f>
        <v>1778.5854999999999</v>
      </c>
      <c r="J35" s="8">
        <v>71.592299999999994</v>
      </c>
      <c r="K35" s="8">
        <f>1778.51+0.0755</f>
        <v>1778.5854999999999</v>
      </c>
      <c r="L35" s="8">
        <v>158.99700000000001</v>
      </c>
      <c r="N35" s="12"/>
      <c r="O35" s="27"/>
      <c r="P35" s="30"/>
    </row>
    <row r="36" spans="1:16" x14ac:dyDescent="0.25">
      <c r="A36" s="14">
        <f>1778.51+0.0773</f>
        <v>1778.5872999999999</v>
      </c>
      <c r="B36" s="14">
        <v>88.398499999999999</v>
      </c>
      <c r="C36" s="14">
        <f>1778.51+0.0773</f>
        <v>1778.5872999999999</v>
      </c>
      <c r="D36" s="14">
        <v>152.24700000000001</v>
      </c>
      <c r="E36" s="14">
        <f>1778.51+0.0773</f>
        <v>1778.5872999999999</v>
      </c>
      <c r="F36" s="14">
        <v>88.752200000000002</v>
      </c>
      <c r="G36" s="14">
        <f>1778.51+0.0773</f>
        <v>1778.5872999999999</v>
      </c>
      <c r="H36" s="14">
        <v>106.051</v>
      </c>
      <c r="I36" s="14">
        <f>1778.51+0.0775</f>
        <v>1778.5875000000001</v>
      </c>
      <c r="J36" s="14">
        <v>63.799500000000002</v>
      </c>
      <c r="K36" s="14">
        <f>1778.51+0.0775</f>
        <v>1778.5875000000001</v>
      </c>
      <c r="L36" s="14">
        <v>151.35599999999999</v>
      </c>
      <c r="N36" s="12"/>
      <c r="O36" s="27"/>
      <c r="P36" s="30"/>
    </row>
    <row r="37" spans="1:16" x14ac:dyDescent="0.25">
      <c r="A37" s="14">
        <f>1778.51+0.0793</f>
        <v>1778.5893000000001</v>
      </c>
      <c r="B37" s="14">
        <v>96.611699999999999</v>
      </c>
      <c r="C37" s="14">
        <f>1778.51+0.0793</f>
        <v>1778.5893000000001</v>
      </c>
      <c r="D37" s="14">
        <v>160.47</v>
      </c>
      <c r="E37" s="14">
        <f>1778.51+0.0793</f>
        <v>1778.5893000000001</v>
      </c>
      <c r="F37" s="14">
        <v>84.447999999999993</v>
      </c>
      <c r="G37" s="14">
        <f>1778.51+0.0793</f>
        <v>1778.5893000000001</v>
      </c>
      <c r="H37" s="14">
        <v>104.27800000000001</v>
      </c>
      <c r="I37" s="14">
        <f>1778.51+0.0795</f>
        <v>1778.5895</v>
      </c>
      <c r="J37" s="14">
        <v>69.557299999999998</v>
      </c>
      <c r="K37" s="14">
        <f>1778.51+0.0795</f>
        <v>1778.5895</v>
      </c>
      <c r="L37" s="14">
        <v>153.28299999999999</v>
      </c>
      <c r="N37" s="12"/>
      <c r="O37" s="27"/>
      <c r="P37" s="30"/>
    </row>
    <row r="38" spans="1:16" x14ac:dyDescent="0.25">
      <c r="A38" s="14">
        <f>1778.51+0.0813</f>
        <v>1778.5913</v>
      </c>
      <c r="B38" s="14">
        <v>91.998900000000006</v>
      </c>
      <c r="C38" s="14">
        <f>1778.51+0.0813</f>
        <v>1778.5913</v>
      </c>
      <c r="D38" s="14">
        <v>160.584</v>
      </c>
      <c r="E38" s="14">
        <f>1778.51+0.0813</f>
        <v>1778.5913</v>
      </c>
      <c r="F38" s="14">
        <v>79.421300000000002</v>
      </c>
      <c r="G38" s="14">
        <f>1778.51+0.0813</f>
        <v>1778.5913</v>
      </c>
      <c r="H38" s="14">
        <v>103.992</v>
      </c>
      <c r="I38" s="14">
        <f>1778.51+0.0815</f>
        <v>1778.5915</v>
      </c>
      <c r="J38" s="14">
        <v>63.021799999999999</v>
      </c>
      <c r="K38" s="14">
        <f>1778.51+0.0815</f>
        <v>1778.5915</v>
      </c>
      <c r="L38" s="14">
        <v>152.85300000000001</v>
      </c>
    </row>
    <row r="39" spans="1:16" x14ac:dyDescent="0.25">
      <c r="A39" s="14">
        <f>1778.51+0.0833</f>
        <v>1778.5933</v>
      </c>
      <c r="B39" s="14">
        <v>76.646500000000003</v>
      </c>
      <c r="C39" s="14">
        <f>1778.51+0.0833</f>
        <v>1778.5933</v>
      </c>
      <c r="D39" s="14">
        <v>162.375</v>
      </c>
      <c r="E39" s="14">
        <f>1778.51+0.0833</f>
        <v>1778.5933</v>
      </c>
      <c r="F39" s="14">
        <v>68.602500000000006</v>
      </c>
      <c r="G39" s="14">
        <f>1778.51+0.0833</f>
        <v>1778.5933</v>
      </c>
      <c r="H39" s="14">
        <v>96.084199999999996</v>
      </c>
      <c r="I39" s="14">
        <f>1778.51+0.0835</f>
        <v>1778.5934999999999</v>
      </c>
      <c r="J39" s="14">
        <v>58.398699999999998</v>
      </c>
      <c r="K39" s="14">
        <f>1778.51+0.0835</f>
        <v>1778.5934999999999</v>
      </c>
      <c r="L39" s="14">
        <v>161.44999999999999</v>
      </c>
    </row>
    <row r="40" spans="1:16" x14ac:dyDescent="0.25">
      <c r="A40" s="14">
        <f>1778.51+0.0853</f>
        <v>1778.5953</v>
      </c>
      <c r="B40" s="14">
        <v>74.072500000000005</v>
      </c>
      <c r="C40" s="14">
        <f>1778.51+0.0853</f>
        <v>1778.5953</v>
      </c>
      <c r="D40" s="14">
        <v>159.93700000000001</v>
      </c>
      <c r="E40" s="14">
        <f>1778.51+0.0853</f>
        <v>1778.5953</v>
      </c>
      <c r="F40" s="14">
        <v>53.9328</v>
      </c>
      <c r="G40" s="14">
        <f>1778.51+0.0853</f>
        <v>1778.5953</v>
      </c>
      <c r="H40" s="14">
        <v>85.094800000000006</v>
      </c>
      <c r="I40" s="14">
        <f>1778.51+0.0855</f>
        <v>1778.5954999999999</v>
      </c>
      <c r="J40" s="14">
        <v>76.352599999999995</v>
      </c>
      <c r="K40" s="14">
        <f>1778.51+0.0855</f>
        <v>1778.5954999999999</v>
      </c>
      <c r="L40" s="14">
        <v>164.59399999999999</v>
      </c>
      <c r="O40" s="15" t="s">
        <v>3</v>
      </c>
      <c r="P40"/>
    </row>
    <row r="41" spans="1:16" x14ac:dyDescent="0.25">
      <c r="A41" s="14">
        <f>1778.51+0.0873</f>
        <v>1778.5972999999999</v>
      </c>
      <c r="B41" s="14">
        <v>64.790800000000004</v>
      </c>
      <c r="C41" s="14">
        <f>1778.51+0.0873</f>
        <v>1778.5972999999999</v>
      </c>
      <c r="D41" s="14">
        <v>160.16499999999999</v>
      </c>
      <c r="E41" s="14">
        <f>1778.51+0.0873</f>
        <v>1778.5972999999999</v>
      </c>
      <c r="F41" s="14">
        <v>55.129600000000003</v>
      </c>
      <c r="G41" s="14">
        <f>1778.51+0.0873</f>
        <v>1778.5972999999999</v>
      </c>
      <c r="H41" s="14">
        <v>77.709000000000003</v>
      </c>
      <c r="I41" s="14">
        <f>1778.51+0.0875</f>
        <v>1778.5975000000001</v>
      </c>
      <c r="J41" s="14">
        <v>72.531099999999995</v>
      </c>
      <c r="K41" s="14">
        <f>1778.51+0.0875</f>
        <v>1778.5975000000001</v>
      </c>
      <c r="L41" s="14">
        <v>173.06100000000001</v>
      </c>
      <c r="N41" s="12" t="s">
        <v>25</v>
      </c>
      <c r="O41" s="27">
        <f>AVERAGE(O27:O29)</f>
        <v>77.42151058340346</v>
      </c>
      <c r="P41" s="30" t="s">
        <v>14</v>
      </c>
    </row>
    <row r="42" spans="1:16" x14ac:dyDescent="0.25">
      <c r="A42" s="14">
        <f>1778.51+0.0893</f>
        <v>1778.5993000000001</v>
      </c>
      <c r="B42" s="14">
        <v>64.472899999999996</v>
      </c>
      <c r="C42" s="14">
        <f>1778.51+0.0893</f>
        <v>1778.5993000000001</v>
      </c>
      <c r="D42" s="14">
        <v>154.80799999999999</v>
      </c>
      <c r="E42" s="14">
        <f>1778.51+0.0893</f>
        <v>1778.5993000000001</v>
      </c>
      <c r="F42" s="14">
        <v>63.044899999999998</v>
      </c>
      <c r="G42" s="14">
        <f>1778.51+0.0893</f>
        <v>1778.5993000000001</v>
      </c>
      <c r="H42" s="14">
        <v>75.180400000000006</v>
      </c>
      <c r="I42" s="14">
        <f>1778.51+0.0895</f>
        <v>1778.5995</v>
      </c>
      <c r="J42" s="14">
        <v>61.438699999999997</v>
      </c>
      <c r="K42" s="14">
        <f>1778.51+0.0895</f>
        <v>1778.5995</v>
      </c>
      <c r="L42" s="14">
        <v>171.68600000000001</v>
      </c>
      <c r="N42" s="12" t="s">
        <v>26</v>
      </c>
      <c r="O42" s="27">
        <f>AVERAGE(O30:O32)</f>
        <v>139.95449824898824</v>
      </c>
      <c r="P42" s="30" t="s">
        <v>14</v>
      </c>
    </row>
    <row r="43" spans="1:16" x14ac:dyDescent="0.25">
      <c r="A43" s="14">
        <f>1778.51+0.0913</f>
        <v>1778.6013</v>
      </c>
      <c r="B43" s="14">
        <v>70.491699999999994</v>
      </c>
      <c r="C43" s="14">
        <f>1778.51+0.0913</f>
        <v>1778.6013</v>
      </c>
      <c r="D43" s="14">
        <v>160.97499999999999</v>
      </c>
      <c r="E43" s="14">
        <f>1778.51+0.0913</f>
        <v>1778.6013</v>
      </c>
      <c r="F43" s="14">
        <v>67.529399999999995</v>
      </c>
      <c r="G43" s="14">
        <f>1778.51+0.0913</f>
        <v>1778.6013</v>
      </c>
      <c r="H43" s="14">
        <v>65.81</v>
      </c>
      <c r="I43" s="14">
        <f>1778.51+0.0915</f>
        <v>1778.6015</v>
      </c>
      <c r="J43" s="14">
        <v>74.707099999999997</v>
      </c>
      <c r="K43" s="14">
        <f>1778.51+0.0915</f>
        <v>1778.6015</v>
      </c>
      <c r="L43" s="14">
        <v>171.35400000000001</v>
      </c>
      <c r="N43" s="12"/>
      <c r="O43" s="27"/>
      <c r="P43" s="30"/>
    </row>
    <row r="44" spans="1:16" x14ac:dyDescent="0.25">
      <c r="A44" s="14">
        <f>1778.51+0.0933</f>
        <v>1778.6033</v>
      </c>
      <c r="B44" s="14">
        <v>64.299700000000001</v>
      </c>
      <c r="C44" s="14">
        <f>1778.51+0.0933</f>
        <v>1778.6033</v>
      </c>
      <c r="D44" s="14">
        <v>164.08500000000001</v>
      </c>
      <c r="E44" s="14">
        <f>1778.51+0.0933</f>
        <v>1778.6033</v>
      </c>
      <c r="F44" s="14">
        <v>79.951999999999998</v>
      </c>
      <c r="G44" s="14">
        <f>1778.51+0.0933</f>
        <v>1778.6033</v>
      </c>
      <c r="H44" s="14">
        <v>63.048299999999998</v>
      </c>
      <c r="I44" s="14">
        <f>1778.51+0.0935</f>
        <v>1778.6034999999999</v>
      </c>
      <c r="J44" s="14">
        <v>80.505499999999998</v>
      </c>
      <c r="K44" s="14">
        <f>1778.51+0.0935</f>
        <v>1778.6034999999999</v>
      </c>
      <c r="L44" s="14">
        <v>164.41800000000001</v>
      </c>
      <c r="N44" s="12"/>
      <c r="O44" s="27"/>
      <c r="P44" s="30"/>
    </row>
    <row r="45" spans="1:16" x14ac:dyDescent="0.25">
      <c r="A45" s="14">
        <f>1778.51+0.0953</f>
        <v>1778.6052999999999</v>
      </c>
      <c r="B45" s="14">
        <v>63.610900000000001</v>
      </c>
      <c r="C45" s="14">
        <f>1778.51+0.0953</f>
        <v>1778.6052999999999</v>
      </c>
      <c r="D45" s="14">
        <v>169.13</v>
      </c>
      <c r="E45" s="14">
        <f>1778.51+0.0953</f>
        <v>1778.6052999999999</v>
      </c>
      <c r="F45" s="14">
        <v>96.198700000000002</v>
      </c>
      <c r="G45" s="14">
        <f>1778.51+0.0953</f>
        <v>1778.6052999999999</v>
      </c>
      <c r="H45" s="14">
        <v>67.943899999999999</v>
      </c>
      <c r="I45" s="14">
        <f>1778.51+0.0955</f>
        <v>1778.6054999999999</v>
      </c>
      <c r="J45" s="14">
        <v>80.334400000000002</v>
      </c>
      <c r="K45" s="14">
        <f>1778.51+0.0955</f>
        <v>1778.6054999999999</v>
      </c>
      <c r="L45" s="14">
        <v>163.06399999999999</v>
      </c>
    </row>
    <row r="46" spans="1:16" x14ac:dyDescent="0.25">
      <c r="A46" s="14">
        <f>1778.51+0.0973</f>
        <v>1778.6072999999999</v>
      </c>
      <c r="B46" s="14">
        <v>69.7911</v>
      </c>
      <c r="C46" s="14">
        <f>1778.51+0.0973</f>
        <v>1778.6072999999999</v>
      </c>
      <c r="D46" s="14">
        <v>172.03700000000001</v>
      </c>
      <c r="E46" s="14">
        <f>1778.51+0.0973</f>
        <v>1778.6072999999999</v>
      </c>
      <c r="F46" s="14">
        <v>93.9602</v>
      </c>
      <c r="G46" s="14">
        <f>1778.51+0.0973</f>
        <v>1778.6072999999999</v>
      </c>
      <c r="H46" s="14">
        <v>67.586500000000001</v>
      </c>
      <c r="I46" s="14">
        <f>1778.51+0.0975</f>
        <v>1778.6075000000001</v>
      </c>
      <c r="J46" s="14">
        <v>82.923000000000002</v>
      </c>
      <c r="K46" s="14">
        <f>1778.51+0.0975</f>
        <v>1778.6075000000001</v>
      </c>
      <c r="L46" s="14">
        <v>161.965</v>
      </c>
    </row>
    <row r="47" spans="1:16" x14ac:dyDescent="0.25">
      <c r="A47" s="14">
        <f>1778.51+0.0993</f>
        <v>1778.6093000000001</v>
      </c>
      <c r="B47" s="14">
        <v>66.083399999999997</v>
      </c>
      <c r="C47" s="14">
        <f>1778.51+0.0993</f>
        <v>1778.6093000000001</v>
      </c>
      <c r="D47" s="14">
        <v>177.81100000000001</v>
      </c>
      <c r="E47" s="14">
        <f>1778.51+0.0993</f>
        <v>1778.6093000000001</v>
      </c>
      <c r="F47" s="14">
        <v>82.507499999999993</v>
      </c>
      <c r="G47" s="14">
        <f>1778.51+0.0993</f>
        <v>1778.6093000000001</v>
      </c>
      <c r="H47" s="14">
        <v>61.299300000000002</v>
      </c>
      <c r="I47" s="14">
        <f>1778.51+0.0995</f>
        <v>1778.6095</v>
      </c>
      <c r="J47" s="14">
        <v>96.615700000000004</v>
      </c>
      <c r="K47" s="14">
        <f>1778.51+0.0995</f>
        <v>1778.6095</v>
      </c>
      <c r="L47" s="14">
        <v>163.62899999999999</v>
      </c>
    </row>
    <row r="48" spans="1:16" x14ac:dyDescent="0.25">
      <c r="A48" s="14">
        <f>1778.51+0.1013</f>
        <v>1778.6113</v>
      </c>
      <c r="B48" s="14">
        <v>64.342500000000001</v>
      </c>
      <c r="C48" s="14">
        <f>1778.51+0.1013</f>
        <v>1778.6113</v>
      </c>
      <c r="D48" s="14">
        <v>173.86699999999999</v>
      </c>
      <c r="E48" s="14">
        <f>1778.51+0.1013</f>
        <v>1778.6113</v>
      </c>
      <c r="F48" s="14">
        <v>77.671899999999994</v>
      </c>
      <c r="G48" s="14">
        <f>1778.51+0.1013</f>
        <v>1778.6113</v>
      </c>
      <c r="H48" s="14">
        <v>65.051400000000001</v>
      </c>
      <c r="I48" s="14">
        <f>1778.51+0.1015</f>
        <v>1778.6115</v>
      </c>
      <c r="J48" s="14">
        <v>89.374700000000004</v>
      </c>
      <c r="K48" s="14">
        <f>1778.51+0.1015</f>
        <v>1778.6115</v>
      </c>
      <c r="L48" s="14">
        <v>162.65899999999999</v>
      </c>
    </row>
    <row r="49" spans="1:30" x14ac:dyDescent="0.25">
      <c r="A49" s="14">
        <f>1778.51+0.1033</f>
        <v>1778.6133</v>
      </c>
      <c r="B49" s="14">
        <v>80.149299999999997</v>
      </c>
      <c r="C49" s="14">
        <f>1778.51+0.1033</f>
        <v>1778.6133</v>
      </c>
      <c r="D49" s="14">
        <v>170.43799999999999</v>
      </c>
      <c r="E49" s="14">
        <f>1778.51+0.1033</f>
        <v>1778.6133</v>
      </c>
      <c r="F49" s="14">
        <v>75.677400000000006</v>
      </c>
      <c r="G49" s="14">
        <f>1778.51+0.1033</f>
        <v>1778.6133</v>
      </c>
      <c r="H49" s="14">
        <v>70.787400000000005</v>
      </c>
      <c r="I49" s="14">
        <f>1778.51+0.1035</f>
        <v>1778.6134999999999</v>
      </c>
      <c r="J49" s="14">
        <v>90.172300000000007</v>
      </c>
      <c r="K49" s="14">
        <f>1778.51+0.1035</f>
        <v>1778.6134999999999</v>
      </c>
      <c r="L49" s="14">
        <v>160.05699999999999</v>
      </c>
    </row>
    <row r="50" spans="1:30" x14ac:dyDescent="0.25">
      <c r="A50" s="14">
        <f>1778.51+0.1053</f>
        <v>1778.6152999999999</v>
      </c>
      <c r="B50" s="14">
        <v>91.241100000000003</v>
      </c>
      <c r="C50" s="14">
        <f>1778.51+0.1053</f>
        <v>1778.6152999999999</v>
      </c>
      <c r="D50" s="14">
        <v>169.86600000000001</v>
      </c>
      <c r="E50" s="14">
        <f>1778.51+0.1053</f>
        <v>1778.6152999999999</v>
      </c>
      <c r="F50" s="14">
        <v>71.513099999999994</v>
      </c>
      <c r="G50" s="14">
        <f>1778.51+0.1053</f>
        <v>1778.6152999999999</v>
      </c>
      <c r="H50" s="14">
        <v>76.420199999999994</v>
      </c>
      <c r="AD50" s="14" t="s">
        <v>53</v>
      </c>
    </row>
    <row r="51" spans="1:30" x14ac:dyDescent="0.25">
      <c r="A51" s="14">
        <f>1778.51+0.1073</f>
        <v>1778.6172999999999</v>
      </c>
      <c r="B51" s="14">
        <v>88.010999999999996</v>
      </c>
      <c r="C51" s="14">
        <f>1778.51+0.1073</f>
        <v>1778.6172999999999</v>
      </c>
      <c r="D51" s="14">
        <v>162.70099999999999</v>
      </c>
      <c r="E51" s="14">
        <f>1778.51+0.1073</f>
        <v>1778.6172999999999</v>
      </c>
      <c r="F51" s="14">
        <v>71.742199999999997</v>
      </c>
      <c r="G51" s="14">
        <f>1778.51+0.1073</f>
        <v>1778.6172999999999</v>
      </c>
      <c r="H51" s="14">
        <v>84.782700000000006</v>
      </c>
    </row>
    <row r="52" spans="1:30" x14ac:dyDescent="0.25">
      <c r="A52" s="14">
        <f>1778.51+0.1093</f>
        <v>1778.6193000000001</v>
      </c>
      <c r="B52" s="14">
        <v>94.078599999999994</v>
      </c>
      <c r="C52" s="14">
        <f>1778.51+0.1093</f>
        <v>1778.6193000000001</v>
      </c>
      <c r="D52" s="14">
        <v>160.03800000000001</v>
      </c>
      <c r="E52" s="14">
        <f>1778.51+0.1093</f>
        <v>1778.6193000000001</v>
      </c>
      <c r="F52" s="14">
        <v>78.470399999999998</v>
      </c>
      <c r="G52" s="14">
        <f>1778.51+0.1093</f>
        <v>1778.6193000000001</v>
      </c>
      <c r="H52" s="14">
        <v>99.015600000000006</v>
      </c>
    </row>
    <row r="53" spans="1:30" x14ac:dyDescent="0.25">
      <c r="A53" s="14">
        <f>1778.51+0.1113</f>
        <v>1778.6213</v>
      </c>
      <c r="B53" s="14">
        <v>90.430599999999998</v>
      </c>
      <c r="C53" s="14">
        <f>1778.51+0.1113</f>
        <v>1778.6213</v>
      </c>
      <c r="D53" s="14">
        <v>158.66200000000001</v>
      </c>
      <c r="E53" s="14">
        <f>1778.51+0.1113</f>
        <v>1778.6213</v>
      </c>
      <c r="F53" s="14">
        <v>73.264799999999994</v>
      </c>
      <c r="G53" s="14">
        <f>1778.51+0.1113</f>
        <v>1778.6213</v>
      </c>
      <c r="H53" s="14">
        <v>98.707899999999995</v>
      </c>
    </row>
    <row r="54" spans="1:30" x14ac:dyDescent="0.25">
      <c r="A54" s="14">
        <f>1778.51+0.1133</f>
        <v>1778.6233</v>
      </c>
      <c r="B54" s="14">
        <v>91.361999999999995</v>
      </c>
      <c r="C54" s="14">
        <f>1778.51+0.1133</f>
        <v>1778.6233</v>
      </c>
      <c r="D54" s="14">
        <v>165.19499999999999</v>
      </c>
      <c r="E54" s="14">
        <f>1778.51+0.1133</f>
        <v>1778.6233</v>
      </c>
      <c r="F54" s="14">
        <v>68.973600000000005</v>
      </c>
      <c r="G54" s="14">
        <f>1778.51+0.1133</f>
        <v>1778.6233</v>
      </c>
      <c r="H54" s="14">
        <v>111.63</v>
      </c>
    </row>
    <row r="55" spans="1:30" x14ac:dyDescent="0.25">
      <c r="A55" s="14">
        <f>1778.51+0.1153</f>
        <v>1778.6252999999999</v>
      </c>
      <c r="B55" s="14">
        <v>74.475200000000001</v>
      </c>
      <c r="C55" s="14">
        <f>1778.51+0.1153</f>
        <v>1778.6252999999999</v>
      </c>
      <c r="D55" s="14">
        <v>164.94499999999999</v>
      </c>
      <c r="E55" s="14">
        <f>1778.51+0.1153</f>
        <v>1778.6252999999999</v>
      </c>
      <c r="F55" s="14">
        <v>63.995399999999997</v>
      </c>
      <c r="G55" s="14">
        <f>1778.51+0.1153</f>
        <v>1778.6252999999999</v>
      </c>
      <c r="H55" s="14">
        <v>108.258</v>
      </c>
    </row>
    <row r="56" spans="1:30" x14ac:dyDescent="0.25">
      <c r="A56" s="14">
        <f>1778.51+0.1173</f>
        <v>1778.6272999999999</v>
      </c>
      <c r="B56" s="14">
        <v>69.187299999999993</v>
      </c>
      <c r="C56" s="14">
        <f>1778.51+0.1173</f>
        <v>1778.6272999999999</v>
      </c>
      <c r="D56" s="14">
        <v>171.68299999999999</v>
      </c>
      <c r="E56" s="14">
        <f>1778.51+0.1173</f>
        <v>1778.6272999999999</v>
      </c>
      <c r="F56" s="14">
        <v>63.147799999999997</v>
      </c>
      <c r="G56" s="14">
        <f>1778.51+0.1173</f>
        <v>1778.6272999999999</v>
      </c>
      <c r="H56" s="14">
        <v>98.064599999999999</v>
      </c>
    </row>
    <row r="57" spans="1:30" x14ac:dyDescent="0.25">
      <c r="A57" s="14">
        <f>1778.51+0.1193</f>
        <v>1778.6293000000001</v>
      </c>
      <c r="B57" s="14">
        <v>72.739599999999996</v>
      </c>
      <c r="C57" s="14">
        <f>1778.51+0.1193</f>
        <v>1778.6293000000001</v>
      </c>
      <c r="D57" s="14">
        <v>175.25</v>
      </c>
      <c r="E57" s="14">
        <f>1778.51+0.1193</f>
        <v>1778.6293000000001</v>
      </c>
      <c r="F57" s="14">
        <v>63.553100000000001</v>
      </c>
      <c r="G57" s="14">
        <f>1778.51+0.1193</f>
        <v>1778.6293000000001</v>
      </c>
      <c r="H57" s="14">
        <v>96.302000000000007</v>
      </c>
    </row>
    <row r="58" spans="1:30" x14ac:dyDescent="0.25">
      <c r="A58" s="14">
        <f>1778.51+0.1213</f>
        <v>1778.6313</v>
      </c>
      <c r="B58" s="14">
        <v>75.1815</v>
      </c>
      <c r="C58" s="14">
        <f>1778.51+0.1213</f>
        <v>1778.6313</v>
      </c>
      <c r="D58" s="14">
        <v>176.006</v>
      </c>
      <c r="E58" s="14">
        <f>1778.51+0.1213</f>
        <v>1778.6313</v>
      </c>
      <c r="F58" s="14">
        <v>69.736400000000003</v>
      </c>
      <c r="G58" s="14">
        <f>1778.51+0.1213</f>
        <v>1778.6313</v>
      </c>
      <c r="H58" s="14">
        <v>107.70699999999999</v>
      </c>
    </row>
    <row r="59" spans="1:30" x14ac:dyDescent="0.25">
      <c r="A59" s="14">
        <f>1778.51+0.1233</f>
        <v>1778.6333</v>
      </c>
      <c r="B59" s="14">
        <v>56.991</v>
      </c>
      <c r="C59" s="14">
        <f>1778.51+0.1233</f>
        <v>1778.6333</v>
      </c>
      <c r="D59" s="14">
        <v>176.85499999999999</v>
      </c>
      <c r="E59" s="14">
        <f>1778.51+0.1233</f>
        <v>1778.6333</v>
      </c>
      <c r="F59" s="14">
        <v>74.931600000000003</v>
      </c>
      <c r="G59" s="14">
        <f>1778.51+0.1233</f>
        <v>1778.6333</v>
      </c>
      <c r="H59" s="14">
        <v>100.364</v>
      </c>
    </row>
    <row r="60" spans="1:30" x14ac:dyDescent="0.25">
      <c r="A60" s="14">
        <f>1778.51+0.1253</f>
        <v>1778.6352999999999</v>
      </c>
      <c r="B60" s="14">
        <v>51.928199999999997</v>
      </c>
      <c r="C60" s="14">
        <f>1778.51+0.1253</f>
        <v>1778.6352999999999</v>
      </c>
      <c r="D60" s="14">
        <v>177.505</v>
      </c>
      <c r="E60" s="14">
        <f>1778.51+0.1253</f>
        <v>1778.6352999999999</v>
      </c>
      <c r="F60" s="14">
        <v>83.397499999999994</v>
      </c>
      <c r="G60" s="14">
        <f>1778.51+0.1253</f>
        <v>1778.6352999999999</v>
      </c>
      <c r="H60" s="14">
        <v>102.66200000000001</v>
      </c>
    </row>
    <row r="61" spans="1:30" x14ac:dyDescent="0.25">
      <c r="A61" s="14">
        <f>1778.51+0.1273</f>
        <v>1778.6373000000001</v>
      </c>
      <c r="B61" s="14">
        <v>64.009500000000003</v>
      </c>
      <c r="C61" s="14">
        <f>1778.51+0.1273</f>
        <v>1778.6373000000001</v>
      </c>
      <c r="D61" s="14">
        <v>175.22900000000001</v>
      </c>
      <c r="E61" s="14">
        <f>1778.51+0.1273</f>
        <v>1778.6373000000001</v>
      </c>
      <c r="F61" s="14">
        <v>87.713399999999993</v>
      </c>
      <c r="G61" s="14">
        <f>1778.51+0.1273</f>
        <v>1778.6373000000001</v>
      </c>
      <c r="H61" s="14">
        <v>113.857</v>
      </c>
    </row>
    <row r="62" spans="1:30" x14ac:dyDescent="0.25">
      <c r="A62" s="14">
        <f>1778.51+0.1293</f>
        <v>1778.6393</v>
      </c>
      <c r="B62" s="14">
        <v>59.442700000000002</v>
      </c>
      <c r="C62" s="14">
        <f>1778.51+0.1293</f>
        <v>1778.6393</v>
      </c>
      <c r="D62" s="14">
        <v>164.172</v>
      </c>
    </row>
  </sheetData>
  <mergeCells count="6">
    <mergeCell ref="I1:J1"/>
    <mergeCell ref="K1:L1"/>
    <mergeCell ref="A1:B1"/>
    <mergeCell ref="C1:D1"/>
    <mergeCell ref="E1:F1"/>
    <mergeCell ref="G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BR343"/>
  <sheetViews>
    <sheetView topLeftCell="AM1" zoomScale="80" zoomScaleNormal="80" workbookViewId="0">
      <selection activeCell="O12" sqref="O12:P12"/>
    </sheetView>
  </sheetViews>
  <sheetFormatPr defaultRowHeight="15" x14ac:dyDescent="0.25"/>
  <cols>
    <col min="1" max="1" width="7.140625" style="6" customWidth="1"/>
    <col min="2" max="2" width="11.28515625" style="6" customWidth="1"/>
    <col min="3" max="3" width="10.42578125" style="6" customWidth="1"/>
    <col min="4" max="4" width="6.42578125" style="6" customWidth="1"/>
    <col min="5" max="5" width="8.85546875" style="6" customWidth="1"/>
    <col min="6" max="6" width="13.7109375" style="6" customWidth="1"/>
    <col min="7" max="7" width="19.28515625" style="6" customWidth="1"/>
    <col min="8" max="8" width="12.85546875" style="6" customWidth="1"/>
    <col min="9" max="9" width="9.140625" style="6"/>
    <col min="10" max="10" width="11.28515625" style="6" customWidth="1"/>
    <col min="11" max="11" width="10.42578125" style="6" customWidth="1"/>
    <col min="12" max="12" width="6.42578125" style="6" customWidth="1"/>
    <col min="13" max="13" width="8.85546875" style="6" customWidth="1"/>
    <col min="14" max="14" width="13.7109375" style="6" customWidth="1"/>
    <col min="15" max="15" width="19.28515625" style="6" customWidth="1"/>
    <col min="16" max="16" width="12.85546875" style="6" customWidth="1"/>
    <col min="17" max="17" width="7.140625" style="6" customWidth="1"/>
    <col min="18" max="18" width="11.28515625" style="6" customWidth="1"/>
    <col min="19" max="19" width="10.42578125" style="6" customWidth="1"/>
    <col min="20" max="20" width="6.42578125" style="6" customWidth="1"/>
    <col min="21" max="21" width="8.85546875" style="6" customWidth="1"/>
    <col min="22" max="22" width="13.7109375" style="6" customWidth="1"/>
    <col min="23" max="23" width="19.28515625" style="6" customWidth="1"/>
    <col min="24" max="24" width="12.85546875" style="6" customWidth="1"/>
    <col min="25" max="25" width="9.140625" style="6"/>
    <col min="26" max="26" width="11.28515625" style="6" customWidth="1"/>
    <col min="27" max="27" width="10.42578125" style="6" customWidth="1"/>
    <col min="28" max="28" width="6.42578125" style="6" customWidth="1"/>
    <col min="29" max="29" width="8.85546875" style="6" customWidth="1"/>
    <col min="30" max="30" width="13.7109375" style="6" customWidth="1"/>
    <col min="31" max="31" width="19.28515625" style="6" customWidth="1"/>
    <col min="32" max="32" width="12.85546875" style="6" customWidth="1"/>
    <col min="33" max="33" width="9.140625" style="6"/>
    <col min="34" max="34" width="11.28515625" style="6" customWidth="1"/>
    <col min="35" max="35" width="10.42578125" style="6" customWidth="1"/>
    <col min="36" max="36" width="6.42578125" style="6" customWidth="1"/>
    <col min="37" max="37" width="8.85546875" style="6" customWidth="1"/>
    <col min="38" max="38" width="13.7109375" style="6" customWidth="1"/>
    <col min="39" max="39" width="19.28515625" style="6" customWidth="1"/>
    <col min="40" max="40" width="12.85546875" style="6" customWidth="1"/>
    <col min="41" max="41" width="7.140625" style="6" customWidth="1"/>
    <col min="42" max="42" width="11.28515625" style="6" customWidth="1"/>
    <col min="43" max="43" width="10.42578125" style="6" customWidth="1"/>
    <col min="44" max="44" width="6.42578125" style="6" customWidth="1"/>
    <col min="45" max="45" width="8.85546875" style="6" customWidth="1"/>
    <col min="46" max="46" width="13.7109375" style="6" customWidth="1"/>
    <col min="47" max="47" width="19.28515625" style="6" customWidth="1"/>
    <col min="48" max="48" width="12.85546875" style="6" customWidth="1"/>
    <col min="49" max="50" width="9.140625" style="6"/>
    <col min="51" max="51" width="43.28515625" style="6" customWidth="1"/>
    <col min="52" max="52" width="11.42578125" style="6" customWidth="1"/>
    <col min="53" max="53" width="10.5703125" style="6" customWidth="1"/>
    <col min="54" max="54" width="18.42578125" style="6" customWidth="1"/>
    <col min="55" max="55" width="16.5703125" style="6" customWidth="1"/>
    <col min="56" max="16384" width="9.140625" style="6"/>
  </cols>
  <sheetData>
    <row r="1" spans="2:70" ht="15.75" x14ac:dyDescent="0.25">
      <c r="B1" s="70" t="s">
        <v>83</v>
      </c>
      <c r="C1" s="70"/>
      <c r="D1" s="70"/>
      <c r="E1" s="70"/>
      <c r="F1" s="70"/>
      <c r="G1" s="70"/>
      <c r="H1" s="70"/>
      <c r="J1" s="71" t="s">
        <v>75</v>
      </c>
      <c r="K1" s="71"/>
      <c r="L1" s="71"/>
      <c r="M1" s="71"/>
      <c r="N1" s="71"/>
      <c r="O1" s="71"/>
      <c r="P1" s="71"/>
      <c r="R1" s="70" t="s">
        <v>81</v>
      </c>
      <c r="S1" s="70"/>
      <c r="T1" s="70"/>
      <c r="U1" s="70"/>
      <c r="V1" s="70"/>
      <c r="W1" s="70"/>
      <c r="X1" s="70"/>
      <c r="Z1" s="71" t="s">
        <v>78</v>
      </c>
      <c r="AA1" s="71"/>
      <c r="AB1" s="71"/>
      <c r="AC1" s="71"/>
      <c r="AD1" s="71"/>
      <c r="AE1" s="71"/>
      <c r="AF1" s="71"/>
      <c r="AH1" s="70" t="s">
        <v>82</v>
      </c>
      <c r="AI1" s="70"/>
      <c r="AJ1" s="70"/>
      <c r="AK1" s="70"/>
      <c r="AL1" s="70"/>
      <c r="AM1" s="70"/>
      <c r="AN1" s="70"/>
      <c r="AP1" s="71" t="s">
        <v>80</v>
      </c>
      <c r="AQ1" s="71"/>
      <c r="AR1" s="71"/>
      <c r="AS1" s="71"/>
      <c r="AT1" s="71"/>
      <c r="AU1" s="71"/>
      <c r="AV1" s="71"/>
    </row>
    <row r="2" spans="2:70" s="3" customFormat="1" ht="57" customHeight="1" x14ac:dyDescent="0.25">
      <c r="B2" s="11" t="s">
        <v>16</v>
      </c>
      <c r="C2" s="11" t="s">
        <v>19</v>
      </c>
      <c r="D2" s="28" t="s">
        <v>23</v>
      </c>
      <c r="E2" s="3">
        <v>5</v>
      </c>
      <c r="F2" s="11" t="s">
        <v>29</v>
      </c>
      <c r="G2" s="11" t="s">
        <v>4</v>
      </c>
      <c r="H2" s="4">
        <f>AVERAGE(F3:F70)</f>
        <v>2.7791111111111113</v>
      </c>
      <c r="J2" s="11" t="s">
        <v>16</v>
      </c>
      <c r="K2" s="11" t="s">
        <v>19</v>
      </c>
      <c r="L2" s="28" t="s">
        <v>23</v>
      </c>
      <c r="M2" s="3">
        <v>5</v>
      </c>
      <c r="N2" s="11" t="s">
        <v>29</v>
      </c>
      <c r="O2" s="11" t="s">
        <v>4</v>
      </c>
      <c r="P2" s="4">
        <f>AVERAGE(N3:N70)</f>
        <v>8.6038253968253944</v>
      </c>
      <c r="R2" s="11" t="s">
        <v>16</v>
      </c>
      <c r="S2" s="11" t="s">
        <v>19</v>
      </c>
      <c r="T2" s="28" t="s">
        <v>23</v>
      </c>
      <c r="U2" s="3">
        <v>5</v>
      </c>
      <c r="V2" s="11" t="s">
        <v>29</v>
      </c>
      <c r="W2" s="11" t="s">
        <v>4</v>
      </c>
      <c r="X2" s="4">
        <f>AVERAGE(V3:V63)</f>
        <v>2.2152655737704916</v>
      </c>
      <c r="Z2" s="11" t="s">
        <v>16</v>
      </c>
      <c r="AA2" s="11" t="s">
        <v>19</v>
      </c>
      <c r="AB2" s="28" t="s">
        <v>23</v>
      </c>
      <c r="AC2" s="3">
        <v>5</v>
      </c>
      <c r="AD2" s="11" t="s">
        <v>29</v>
      </c>
      <c r="AE2" s="11" t="s">
        <v>4</v>
      </c>
      <c r="AF2" s="4">
        <f>AVERAGE(AD3:AD63)</f>
        <v>8.1719344262295106</v>
      </c>
      <c r="AH2" s="11" t="s">
        <v>16</v>
      </c>
      <c r="AI2" s="11" t="s">
        <v>19</v>
      </c>
      <c r="AJ2" s="28" t="s">
        <v>23</v>
      </c>
      <c r="AK2" s="3">
        <v>5</v>
      </c>
      <c r="AL2" s="11" t="s">
        <v>29</v>
      </c>
      <c r="AM2" s="11" t="s">
        <v>4</v>
      </c>
      <c r="AN2" s="4">
        <f>AVERAGE(AL3:AL55)</f>
        <v>2.8295833333333338</v>
      </c>
      <c r="AP2" s="11" t="s">
        <v>16</v>
      </c>
      <c r="AQ2" s="11" t="s">
        <v>19</v>
      </c>
      <c r="AR2" s="28" t="s">
        <v>23</v>
      </c>
      <c r="AS2" s="3">
        <v>5</v>
      </c>
      <c r="AT2" s="11" t="s">
        <v>29</v>
      </c>
      <c r="AU2" s="11" t="s">
        <v>4</v>
      </c>
      <c r="AV2" s="4">
        <f>AVERAGE(AT3:AT54)</f>
        <v>8.2030416666666692</v>
      </c>
      <c r="BR2" s="3" t="s">
        <v>65</v>
      </c>
    </row>
    <row r="3" spans="2:70" x14ac:dyDescent="0.25">
      <c r="B3" s="24">
        <f>1778.51+0.01</f>
        <v>1778.52</v>
      </c>
      <c r="C3" s="37">
        <v>109.1</v>
      </c>
      <c r="D3" s="29" t="s">
        <v>5</v>
      </c>
      <c r="E3" s="3">
        <v>0.25</v>
      </c>
      <c r="F3" s="9">
        <f t="shared" ref="F3:F34" si="0">(C3)/(8*($E$2^2)*$E$3)</f>
        <v>2.1819999999999999</v>
      </c>
      <c r="G3" s="29" t="s">
        <v>6</v>
      </c>
      <c r="H3" s="18">
        <f>_xlfn.STDEV.P(F3:F70)</f>
        <v>0.67908077718342008</v>
      </c>
      <c r="J3" s="24">
        <f>1778.51+0.01</f>
        <v>1778.52</v>
      </c>
      <c r="K3" s="9">
        <v>399.2</v>
      </c>
      <c r="L3" s="29" t="s">
        <v>5</v>
      </c>
      <c r="M3" s="3">
        <v>0.25</v>
      </c>
      <c r="N3" s="5">
        <f>(K3)/(8*($M$2^2)*$M$3)</f>
        <v>7.984</v>
      </c>
      <c r="O3" s="29" t="s">
        <v>6</v>
      </c>
      <c r="P3" s="18">
        <f>_xlfn.STDEV.P(N3:N70)</f>
        <v>0.36414620906611594</v>
      </c>
      <c r="R3" s="24">
        <f>1778.51+0.01</f>
        <v>1778.52</v>
      </c>
      <c r="S3" s="37">
        <v>171.5</v>
      </c>
      <c r="T3" s="29" t="s">
        <v>5</v>
      </c>
      <c r="U3" s="3">
        <v>0.25</v>
      </c>
      <c r="V3" s="9">
        <f>(S3)/(8*($E$2^2)*$E$3)</f>
        <v>3.43</v>
      </c>
      <c r="W3" s="29" t="s">
        <v>6</v>
      </c>
      <c r="X3" s="18">
        <f>_xlfn.STDEV.P(V3:V63)</f>
        <v>0.77106511704036829</v>
      </c>
      <c r="Z3" s="24">
        <f>1778.51+0.01</f>
        <v>1778.52</v>
      </c>
      <c r="AA3" s="37">
        <v>486.7</v>
      </c>
      <c r="AB3" s="29" t="s">
        <v>5</v>
      </c>
      <c r="AC3" s="3">
        <v>0.25</v>
      </c>
      <c r="AD3" s="5">
        <f>(AA3)/(8*($M$2^2)*$M$3)</f>
        <v>9.734</v>
      </c>
      <c r="AE3" s="29" t="s">
        <v>6</v>
      </c>
      <c r="AF3" s="18">
        <f>_xlfn.STDEV.P(AD3:AD63)</f>
        <v>1.0766019991401092</v>
      </c>
      <c r="AH3" s="38">
        <f>1778.51+0.01</f>
        <v>1778.52</v>
      </c>
      <c r="AI3" s="38">
        <v>132.80000000000001</v>
      </c>
      <c r="AJ3" s="29" t="s">
        <v>5</v>
      </c>
      <c r="AK3" s="3">
        <v>0.25</v>
      </c>
      <c r="AL3" s="9">
        <f>(AI3)/(8*($M$2^2)*$M$3)</f>
        <v>2.6560000000000001</v>
      </c>
      <c r="AM3" s="29" t="s">
        <v>6</v>
      </c>
      <c r="AN3" s="18">
        <f>_xlfn.STDEV.P(AL3:AL55)</f>
        <v>0.28227231483484566</v>
      </c>
      <c r="AP3" s="38">
        <f>1778.51+0.01</f>
        <v>1778.52</v>
      </c>
      <c r="AQ3" s="9">
        <v>373.6</v>
      </c>
      <c r="AR3" s="29" t="s">
        <v>5</v>
      </c>
      <c r="AS3" s="3">
        <v>0.25</v>
      </c>
      <c r="AT3" s="9">
        <f>(AQ3)/(8*($E$2^2)*$E$3)</f>
        <v>7.4720000000000004</v>
      </c>
      <c r="AU3" s="29" t="s">
        <v>6</v>
      </c>
      <c r="AV3" s="18">
        <f>_xlfn.STDEV.P(AT3:AT54)</f>
        <v>0.5463266711384519</v>
      </c>
      <c r="AY3" s="2"/>
    </row>
    <row r="4" spans="2:70" x14ac:dyDescent="0.25">
      <c r="B4" s="24">
        <f>1778.51+0.01</f>
        <v>1778.52</v>
      </c>
      <c r="C4" s="37">
        <v>122.69999999999999</v>
      </c>
      <c r="F4" s="9">
        <f t="shared" si="0"/>
        <v>2.4539999999999997</v>
      </c>
      <c r="G4" s="29" t="s">
        <v>7</v>
      </c>
      <c r="H4" s="7">
        <f>H3/SQRT(COUNT(F3:F70))</f>
        <v>8.5556136026275945E-2</v>
      </c>
      <c r="J4" s="24">
        <f>1778.51+0.01</f>
        <v>1778.52</v>
      </c>
      <c r="K4" s="25">
        <v>405.2</v>
      </c>
      <c r="N4" s="5">
        <f t="shared" ref="N4:N65" si="1">(K4)/(8*($M$2^2)*$M$3)</f>
        <v>8.1039999999999992</v>
      </c>
      <c r="O4" s="29" t="s">
        <v>7</v>
      </c>
      <c r="P4" s="7">
        <f>P3/SQRT(COUNT(N3:N70))</f>
        <v>4.5878110002660795E-2</v>
      </c>
      <c r="R4" s="24">
        <f>1778.51+0.01</f>
        <v>1778.52</v>
      </c>
      <c r="S4" s="37">
        <v>189.4</v>
      </c>
      <c r="V4" s="9">
        <f t="shared" ref="V4:V63" si="2">(S4)/(8*($E$2^2)*$E$3)</f>
        <v>3.7880000000000003</v>
      </c>
      <c r="W4" s="29" t="s">
        <v>7</v>
      </c>
      <c r="X4" s="7">
        <f>X3/SQRT(COUNT(V3:V63))</f>
        <v>9.8724771810942025E-2</v>
      </c>
      <c r="Z4" s="24">
        <f>1778.51+0.01</f>
        <v>1778.52</v>
      </c>
      <c r="AA4" s="38">
        <v>517.29999999999995</v>
      </c>
      <c r="AD4" s="5">
        <f t="shared" ref="AD4:AD63" si="3">(AA4)/(8*($M$2^2)*$M$3)</f>
        <v>10.345999999999998</v>
      </c>
      <c r="AE4" s="29" t="s">
        <v>7</v>
      </c>
      <c r="AF4" s="7">
        <f>AF3/SQRT(COUNT(AD3:AD63))</f>
        <v>0.13784476089941794</v>
      </c>
      <c r="AH4" s="38">
        <f>1778.51+0.01</f>
        <v>1778.52</v>
      </c>
      <c r="AI4" s="38">
        <v>134.1</v>
      </c>
      <c r="AL4" s="9">
        <f t="shared" ref="AL4:AL50" si="4">(AI4)/(8*($M$2^2)*$M$3)</f>
        <v>2.6819999999999999</v>
      </c>
      <c r="AM4" s="29" t="s">
        <v>7</v>
      </c>
      <c r="AN4" s="7">
        <f>AN3/SQRT(COUNT(AL3:AL55))</f>
        <v>4.0742499238669239E-2</v>
      </c>
      <c r="AP4" s="38">
        <f>1778.51+0.01</f>
        <v>1778.52</v>
      </c>
      <c r="AQ4" s="9">
        <v>385.7</v>
      </c>
      <c r="AT4" s="9">
        <f t="shared" ref="AT4:AT50" si="5">(AQ4)/(8*($E$2^2)*$E$3)</f>
        <v>7.7139999999999995</v>
      </c>
      <c r="AU4" s="29" t="s">
        <v>7</v>
      </c>
      <c r="AV4" s="7">
        <f>AV3/SQRT(COUNT(AT3:AT54))</f>
        <v>7.8855462661814341E-2</v>
      </c>
      <c r="AY4" s="12"/>
      <c r="AZ4" s="16"/>
      <c r="BA4" s="30"/>
      <c r="BB4" s="31"/>
      <c r="BC4" s="16"/>
    </row>
    <row r="5" spans="2:70" x14ac:dyDescent="0.25">
      <c r="B5" s="24">
        <f>1778.51+0.01</f>
        <v>1778.52</v>
      </c>
      <c r="C5" s="37">
        <v>129.60000000000002</v>
      </c>
      <c r="F5" s="9">
        <f t="shared" si="0"/>
        <v>2.5920000000000005</v>
      </c>
      <c r="J5" s="24">
        <f>1778.51+0.01</f>
        <v>1778.52</v>
      </c>
      <c r="K5" s="25">
        <v>400.6</v>
      </c>
      <c r="N5" s="5">
        <f t="shared" si="1"/>
        <v>8.0120000000000005</v>
      </c>
      <c r="R5" s="24">
        <f>1778.51+0.01</f>
        <v>1778.52</v>
      </c>
      <c r="S5" s="37">
        <v>190.2</v>
      </c>
      <c r="V5" s="9">
        <f t="shared" si="2"/>
        <v>3.8039999999999998</v>
      </c>
      <c r="Z5" s="24">
        <f>1778.51+0.01</f>
        <v>1778.52</v>
      </c>
      <c r="AA5" s="38">
        <v>517.70000000000005</v>
      </c>
      <c r="AD5" s="5">
        <f t="shared" si="3"/>
        <v>10.354000000000001</v>
      </c>
      <c r="AH5" s="38">
        <f>1778.51+0.01</f>
        <v>1778.52</v>
      </c>
      <c r="AI5" s="38">
        <v>131.5</v>
      </c>
      <c r="AL5" s="9">
        <f t="shared" si="4"/>
        <v>2.63</v>
      </c>
      <c r="AP5" s="38">
        <f>1778.51+0.01</f>
        <v>1778.52</v>
      </c>
      <c r="AQ5" s="9">
        <v>403.3</v>
      </c>
      <c r="AT5" s="9">
        <f t="shared" si="5"/>
        <v>8.0660000000000007</v>
      </c>
      <c r="AY5" s="12"/>
      <c r="AZ5" s="16"/>
      <c r="BA5" s="30"/>
      <c r="BB5" s="31"/>
      <c r="BC5" s="16"/>
    </row>
    <row r="6" spans="2:70" x14ac:dyDescent="0.25">
      <c r="B6" s="24">
        <f>1778.51+0.02</f>
        <v>1778.53</v>
      </c>
      <c r="C6" s="37">
        <v>136.89999999999998</v>
      </c>
      <c r="D6" s="29"/>
      <c r="F6" s="9">
        <f t="shared" si="0"/>
        <v>2.7379999999999995</v>
      </c>
      <c r="J6" s="24">
        <f>1778.51+0.02</f>
        <v>1778.53</v>
      </c>
      <c r="K6" s="25">
        <v>405.3</v>
      </c>
      <c r="L6" s="29"/>
      <c r="N6" s="5">
        <f t="shared" si="1"/>
        <v>8.1059999999999999</v>
      </c>
      <c r="R6" s="24">
        <f>1778.51+0.01</f>
        <v>1778.52</v>
      </c>
      <c r="S6" s="37">
        <v>181.8</v>
      </c>
      <c r="T6" s="29"/>
      <c r="V6" s="9">
        <f t="shared" si="2"/>
        <v>3.6360000000000001</v>
      </c>
      <c r="Z6" s="24">
        <f>1778.51+0.01</f>
        <v>1778.52</v>
      </c>
      <c r="AA6" s="38">
        <v>512.9</v>
      </c>
      <c r="AB6" s="29"/>
      <c r="AD6" s="5">
        <f t="shared" si="3"/>
        <v>10.257999999999999</v>
      </c>
      <c r="AH6" s="38">
        <f>1778.51+0.01</f>
        <v>1778.52</v>
      </c>
      <c r="AI6" s="38">
        <v>123</v>
      </c>
      <c r="AJ6" s="29"/>
      <c r="AL6" s="9">
        <f t="shared" si="4"/>
        <v>2.46</v>
      </c>
      <c r="AP6" s="38">
        <f>1778.51+0.01</f>
        <v>1778.52</v>
      </c>
      <c r="AQ6" s="9">
        <v>415</v>
      </c>
      <c r="AR6" s="29"/>
      <c r="AT6" s="9">
        <f t="shared" si="5"/>
        <v>8.3000000000000007</v>
      </c>
      <c r="AY6" s="12"/>
      <c r="AZ6" s="17" t="s">
        <v>3</v>
      </c>
      <c r="BA6" s="2"/>
      <c r="BB6" s="29"/>
      <c r="BC6" s="29"/>
    </row>
    <row r="7" spans="2:70" x14ac:dyDescent="0.25">
      <c r="B7" s="24">
        <f>1778.51+0.02</f>
        <v>1778.53</v>
      </c>
      <c r="C7" s="37">
        <v>141.80000000000001</v>
      </c>
      <c r="D7" s="29"/>
      <c r="F7" s="9">
        <f t="shared" si="0"/>
        <v>2.8360000000000003</v>
      </c>
      <c r="J7" s="24">
        <f>1778.51+0.02</f>
        <v>1778.53</v>
      </c>
      <c r="K7" s="25">
        <v>413.8</v>
      </c>
      <c r="L7" s="29"/>
      <c r="N7" s="5">
        <f t="shared" si="1"/>
        <v>8.2759999999999998</v>
      </c>
      <c r="R7" s="24">
        <f>1778.51+0.02</f>
        <v>1778.53</v>
      </c>
      <c r="S7" s="37">
        <v>177.1</v>
      </c>
      <c r="T7" s="29"/>
      <c r="V7" s="9">
        <f t="shared" si="2"/>
        <v>3.5419999999999998</v>
      </c>
      <c r="Z7" s="24">
        <f>1778.51+0.02</f>
        <v>1778.53</v>
      </c>
      <c r="AA7" s="38">
        <v>503.3</v>
      </c>
      <c r="AB7" s="29"/>
      <c r="AD7" s="5">
        <f t="shared" si="3"/>
        <v>10.066000000000001</v>
      </c>
      <c r="AH7" s="38">
        <f>1778.51+0.02</f>
        <v>1778.53</v>
      </c>
      <c r="AI7" s="38">
        <v>122.2</v>
      </c>
      <c r="AJ7" s="29"/>
      <c r="AL7" s="9">
        <f t="shared" si="4"/>
        <v>2.444</v>
      </c>
      <c r="AP7" s="38">
        <f>1778.51+0.02</f>
        <v>1778.53</v>
      </c>
      <c r="AQ7" s="9">
        <v>428.6</v>
      </c>
      <c r="AR7" s="29"/>
      <c r="AT7" s="9">
        <f t="shared" si="5"/>
        <v>8.572000000000001</v>
      </c>
      <c r="AY7" s="12" t="s">
        <v>30</v>
      </c>
      <c r="AZ7" s="16">
        <f>H2</f>
        <v>2.7791111111111113</v>
      </c>
      <c r="BA7" s="30" t="s">
        <v>18</v>
      </c>
      <c r="BB7" s="31"/>
      <c r="BC7" s="16"/>
    </row>
    <row r="8" spans="2:70" x14ac:dyDescent="0.25">
      <c r="B8" s="24">
        <f>1778.51+0.02</f>
        <v>1778.53</v>
      </c>
      <c r="C8" s="37">
        <v>140.69999999999999</v>
      </c>
      <c r="F8" s="9">
        <f t="shared" si="0"/>
        <v>2.8139999999999996</v>
      </c>
      <c r="G8" s="2"/>
      <c r="J8" s="24">
        <f>1778.51+0.02</f>
        <v>1778.53</v>
      </c>
      <c r="K8" s="9">
        <v>415.9</v>
      </c>
      <c r="N8" s="5">
        <f t="shared" si="1"/>
        <v>8.3179999999999996</v>
      </c>
      <c r="O8" s="2"/>
      <c r="R8" s="24">
        <f>1778.51+0.02</f>
        <v>1778.53</v>
      </c>
      <c r="S8" s="37">
        <v>171.7</v>
      </c>
      <c r="V8" s="9">
        <f t="shared" si="2"/>
        <v>3.4339999999999997</v>
      </c>
      <c r="W8" s="2"/>
      <c r="Z8" s="24">
        <f>1778.51+0.02</f>
        <v>1778.53</v>
      </c>
      <c r="AA8" s="37">
        <v>496.5</v>
      </c>
      <c r="AD8" s="5">
        <f t="shared" si="3"/>
        <v>9.93</v>
      </c>
      <c r="AE8" s="2"/>
      <c r="AH8" s="38">
        <f>1778.51+0.02</f>
        <v>1778.53</v>
      </c>
      <c r="AI8" s="38">
        <v>117.4</v>
      </c>
      <c r="AL8" s="9">
        <f t="shared" si="4"/>
        <v>2.3480000000000003</v>
      </c>
      <c r="AM8" s="2"/>
      <c r="AP8" s="38">
        <f>1778.51+0.02</f>
        <v>1778.53</v>
      </c>
      <c r="AQ8" s="9">
        <v>456.7</v>
      </c>
      <c r="AT8" s="9">
        <f t="shared" si="5"/>
        <v>9.1340000000000003</v>
      </c>
      <c r="AU8" s="2"/>
      <c r="AY8" s="12" t="s">
        <v>34</v>
      </c>
      <c r="AZ8" s="16">
        <f>P2</f>
        <v>8.6038253968253944</v>
      </c>
      <c r="BA8" s="30" t="s">
        <v>18</v>
      </c>
      <c r="BB8" s="31"/>
      <c r="BC8" s="16"/>
    </row>
    <row r="9" spans="2:70" x14ac:dyDescent="0.25">
      <c r="B9" s="24">
        <f>1778.51+0.02</f>
        <v>1778.53</v>
      </c>
      <c r="C9" s="37">
        <v>145.19999999999999</v>
      </c>
      <c r="F9" s="9">
        <f t="shared" si="0"/>
        <v>2.9039999999999999</v>
      </c>
      <c r="J9" s="24">
        <f>1778.51+0.02</f>
        <v>1778.53</v>
      </c>
      <c r="K9" s="9">
        <v>416.9</v>
      </c>
      <c r="N9" s="5">
        <f t="shared" si="1"/>
        <v>8.3379999999999992</v>
      </c>
      <c r="R9" s="24">
        <f>1778.51+0.02</f>
        <v>1778.53</v>
      </c>
      <c r="S9" s="37">
        <v>159.80000000000001</v>
      </c>
      <c r="V9" s="9">
        <f t="shared" si="2"/>
        <v>3.1960000000000002</v>
      </c>
      <c r="Z9" s="24">
        <f>1778.51+0.02</f>
        <v>1778.53</v>
      </c>
      <c r="AA9" s="37">
        <v>478.8</v>
      </c>
      <c r="AD9" s="5">
        <f t="shared" si="3"/>
        <v>9.5760000000000005</v>
      </c>
      <c r="AH9" s="38">
        <f>1778.51+0.02</f>
        <v>1778.53</v>
      </c>
      <c r="AI9" s="38">
        <v>107.4</v>
      </c>
      <c r="AL9" s="9">
        <f t="shared" si="4"/>
        <v>2.1480000000000001</v>
      </c>
      <c r="AP9" s="38">
        <f>1778.51+0.02</f>
        <v>1778.53</v>
      </c>
      <c r="AQ9" s="9">
        <v>447.8</v>
      </c>
      <c r="AT9" s="9">
        <f t="shared" si="5"/>
        <v>8.9559999999999995</v>
      </c>
      <c r="AY9" s="29" t="s">
        <v>31</v>
      </c>
      <c r="AZ9" s="32">
        <f>X2</f>
        <v>2.2152655737704916</v>
      </c>
      <c r="BA9" s="30" t="s">
        <v>18</v>
      </c>
      <c r="BB9" s="31"/>
      <c r="BC9" s="16"/>
    </row>
    <row r="10" spans="2:70" x14ac:dyDescent="0.25">
      <c r="B10" s="24">
        <f>1778.51+0.02</f>
        <v>1778.53</v>
      </c>
      <c r="C10" s="37">
        <v>151.10000000000002</v>
      </c>
      <c r="F10" s="9">
        <f t="shared" si="0"/>
        <v>3.0220000000000002</v>
      </c>
      <c r="J10" s="24">
        <f>1778.51+0.02</f>
        <v>1778.53</v>
      </c>
      <c r="K10" s="9">
        <v>426.4</v>
      </c>
      <c r="N10" s="5">
        <f t="shared" si="1"/>
        <v>8.5279999999999987</v>
      </c>
      <c r="R10" s="24">
        <f>1778.51+0.02</f>
        <v>1778.53</v>
      </c>
      <c r="S10" s="37">
        <v>153</v>
      </c>
      <c r="V10" s="9">
        <f t="shared" si="2"/>
        <v>3.06</v>
      </c>
      <c r="Z10" s="24">
        <f>1778.51+0.02</f>
        <v>1778.53</v>
      </c>
      <c r="AA10" s="37">
        <v>471.5</v>
      </c>
      <c r="AD10" s="5">
        <f t="shared" si="3"/>
        <v>9.43</v>
      </c>
      <c r="AH10" s="38">
        <f>1778.51+0.02</f>
        <v>1778.53</v>
      </c>
      <c r="AI10" s="38">
        <v>105.2</v>
      </c>
      <c r="AL10" s="9">
        <f t="shared" si="4"/>
        <v>2.1040000000000001</v>
      </c>
      <c r="AP10" s="38">
        <f>1778.51+0.02</f>
        <v>1778.53</v>
      </c>
      <c r="AQ10" s="9">
        <v>453.2</v>
      </c>
      <c r="AT10" s="9">
        <f t="shared" si="5"/>
        <v>9.0640000000000001</v>
      </c>
      <c r="AY10" s="29" t="s">
        <v>35</v>
      </c>
      <c r="AZ10" s="32">
        <f>AF2</f>
        <v>8.1719344262295106</v>
      </c>
      <c r="BA10" s="30" t="s">
        <v>18</v>
      </c>
      <c r="BB10" s="31"/>
      <c r="BC10" s="16"/>
    </row>
    <row r="11" spans="2:70" x14ac:dyDescent="0.25">
      <c r="B11" s="24">
        <f>1778.51+0.03</f>
        <v>1778.54</v>
      </c>
      <c r="C11" s="37">
        <v>150.39999999999998</v>
      </c>
      <c r="F11" s="9">
        <f t="shared" si="0"/>
        <v>3.0079999999999996</v>
      </c>
      <c r="J11" s="24">
        <f>1778.51+0.03</f>
        <v>1778.54</v>
      </c>
      <c r="K11" s="9">
        <v>425</v>
      </c>
      <c r="N11" s="5">
        <f t="shared" si="1"/>
        <v>8.5</v>
      </c>
      <c r="R11" s="24">
        <f>1778.51+0.02</f>
        <v>1778.53</v>
      </c>
      <c r="S11" s="37">
        <v>146</v>
      </c>
      <c r="V11" s="9">
        <f t="shared" si="2"/>
        <v>2.92</v>
      </c>
      <c r="Z11" s="24">
        <f>1778.51+0.02</f>
        <v>1778.53</v>
      </c>
      <c r="AA11" s="37">
        <v>459.8</v>
      </c>
      <c r="AD11" s="5">
        <f t="shared" si="3"/>
        <v>9.1959999999999997</v>
      </c>
      <c r="AH11" s="38">
        <f>1778.51+0.02</f>
        <v>1778.53</v>
      </c>
      <c r="AI11" s="38">
        <v>119.6</v>
      </c>
      <c r="AL11" s="9">
        <f t="shared" si="4"/>
        <v>2.3919999999999999</v>
      </c>
      <c r="AP11" s="38">
        <f>1778.51+0.02</f>
        <v>1778.53</v>
      </c>
      <c r="AQ11" s="9">
        <v>453.9</v>
      </c>
      <c r="AT11" s="9">
        <f t="shared" si="5"/>
        <v>9.0779999999999994</v>
      </c>
      <c r="AY11" s="29" t="s">
        <v>32</v>
      </c>
      <c r="AZ11" s="32">
        <f>AN2</f>
        <v>2.8295833333333338</v>
      </c>
      <c r="BA11" s="30" t="s">
        <v>18</v>
      </c>
      <c r="BB11" s="31"/>
      <c r="BC11" s="16"/>
    </row>
    <row r="12" spans="2:70" x14ac:dyDescent="0.25">
      <c r="B12" s="24">
        <f>1778.51+0.03</f>
        <v>1778.54</v>
      </c>
      <c r="C12" s="37">
        <v>152.60000000000002</v>
      </c>
      <c r="F12" s="9">
        <f t="shared" si="0"/>
        <v>3.0520000000000005</v>
      </c>
      <c r="J12" s="24">
        <f>1778.51+0.03</f>
        <v>1778.54</v>
      </c>
      <c r="K12" s="9">
        <v>420.6</v>
      </c>
      <c r="N12" s="5">
        <f t="shared" si="1"/>
        <v>8.4120000000000008</v>
      </c>
      <c r="R12" s="24">
        <f>1778.51+0.03</f>
        <v>1778.54</v>
      </c>
      <c r="S12" s="37">
        <v>130.19999999999999</v>
      </c>
      <c r="V12" s="9">
        <f t="shared" si="2"/>
        <v>2.6039999999999996</v>
      </c>
      <c r="Z12" s="24">
        <f>1778.51+0.03</f>
        <v>1778.54</v>
      </c>
      <c r="AA12" s="37">
        <v>434.4</v>
      </c>
      <c r="AD12" s="5">
        <f t="shared" si="3"/>
        <v>8.6879999999999988</v>
      </c>
      <c r="AH12" s="38">
        <f>1778.51+0.03</f>
        <v>1778.54</v>
      </c>
      <c r="AI12" s="38">
        <v>126.2</v>
      </c>
      <c r="AL12" s="9">
        <f t="shared" si="4"/>
        <v>2.524</v>
      </c>
      <c r="AP12" s="38">
        <f>1778.51+0.03</f>
        <v>1778.54</v>
      </c>
      <c r="AQ12" s="9">
        <v>482.4</v>
      </c>
      <c r="AT12" s="9">
        <f t="shared" si="5"/>
        <v>9.6479999999999997</v>
      </c>
      <c r="AY12" s="29" t="s">
        <v>33</v>
      </c>
      <c r="AZ12" s="32">
        <f>AV2</f>
        <v>8.2030416666666692</v>
      </c>
      <c r="BA12" s="30" t="s">
        <v>18</v>
      </c>
      <c r="BB12" s="31"/>
      <c r="BC12" s="16"/>
    </row>
    <row r="13" spans="2:70" x14ac:dyDescent="0.25">
      <c r="B13" s="8">
        <f>1778.51+0.03</f>
        <v>1778.54</v>
      </c>
      <c r="C13" s="37">
        <v>149.60000000000002</v>
      </c>
      <c r="F13" s="9">
        <f t="shared" si="0"/>
        <v>2.9920000000000004</v>
      </c>
      <c r="J13" s="8">
        <f>1778.51+0.03</f>
        <v>1778.54</v>
      </c>
      <c r="K13" s="8">
        <v>417.3</v>
      </c>
      <c r="N13" s="5">
        <f t="shared" si="1"/>
        <v>8.3460000000000001</v>
      </c>
      <c r="R13" s="8">
        <f>1778.51+0.03</f>
        <v>1778.54</v>
      </c>
      <c r="S13" s="37">
        <v>119.5</v>
      </c>
      <c r="V13" s="9">
        <f t="shared" si="2"/>
        <v>2.39</v>
      </c>
      <c r="Z13" s="8">
        <f>1778.51+0.03</f>
        <v>1778.54</v>
      </c>
      <c r="AA13" s="37">
        <v>423.4</v>
      </c>
      <c r="AD13" s="5">
        <f t="shared" si="3"/>
        <v>8.468</v>
      </c>
      <c r="AH13" s="37">
        <f>1778.51+0.03</f>
        <v>1778.54</v>
      </c>
      <c r="AI13" s="37">
        <v>129</v>
      </c>
      <c r="AL13" s="9">
        <f t="shared" si="4"/>
        <v>2.58</v>
      </c>
      <c r="AP13" s="37">
        <f>1778.51+0.03</f>
        <v>1778.54</v>
      </c>
      <c r="AQ13" s="8">
        <v>440.9</v>
      </c>
      <c r="AT13" s="9">
        <f t="shared" si="5"/>
        <v>8.8179999999999996</v>
      </c>
      <c r="AY13" s="29"/>
      <c r="AZ13" s="32"/>
      <c r="BA13" s="30"/>
      <c r="BB13" s="31"/>
      <c r="BC13" s="16"/>
    </row>
    <row r="14" spans="2:70" x14ac:dyDescent="0.25">
      <c r="B14" s="8">
        <f>1778.51+0.03</f>
        <v>1778.54</v>
      </c>
      <c r="C14" s="37">
        <v>148.30000000000001</v>
      </c>
      <c r="F14" s="9">
        <f t="shared" si="0"/>
        <v>2.9660000000000002</v>
      </c>
      <c r="J14" s="8">
        <f>1778.51+0.03</f>
        <v>1778.54</v>
      </c>
      <c r="K14" s="8">
        <v>421.4</v>
      </c>
      <c r="N14" s="5">
        <f t="shared" si="1"/>
        <v>8.427999999999999</v>
      </c>
      <c r="R14" s="8">
        <f>1778.51+0.03</f>
        <v>1778.54</v>
      </c>
      <c r="S14" s="37">
        <v>113.4</v>
      </c>
      <c r="V14" s="9">
        <f t="shared" si="2"/>
        <v>2.2680000000000002</v>
      </c>
      <c r="Z14" s="8">
        <f>1778.51+0.03</f>
        <v>1778.54</v>
      </c>
      <c r="AA14" s="37">
        <v>415.9</v>
      </c>
      <c r="AD14" s="5">
        <f t="shared" si="3"/>
        <v>8.3179999999999996</v>
      </c>
      <c r="AH14" s="37">
        <f>1778.51+0.03</f>
        <v>1778.54</v>
      </c>
      <c r="AI14" s="37">
        <v>135.4</v>
      </c>
      <c r="AL14" s="9">
        <f t="shared" si="4"/>
        <v>2.7080000000000002</v>
      </c>
      <c r="AP14" s="37">
        <f>1778.51+0.03</f>
        <v>1778.54</v>
      </c>
      <c r="AQ14" s="8">
        <v>427.7</v>
      </c>
      <c r="AT14" s="9">
        <f t="shared" si="5"/>
        <v>8.5540000000000003</v>
      </c>
      <c r="AY14" s="29"/>
      <c r="BB14" s="31"/>
      <c r="BC14" s="16"/>
    </row>
    <row r="15" spans="2:70" x14ac:dyDescent="0.25">
      <c r="B15" s="8">
        <f>1778.51+0.03</f>
        <v>1778.54</v>
      </c>
      <c r="C15" s="37">
        <v>152.30000000000001</v>
      </c>
      <c r="F15" s="9">
        <f t="shared" si="0"/>
        <v>3.0460000000000003</v>
      </c>
      <c r="J15" s="8">
        <f>1778.51+0.03</f>
        <v>1778.54</v>
      </c>
      <c r="K15" s="8">
        <v>415.9</v>
      </c>
      <c r="N15" s="5">
        <f t="shared" si="1"/>
        <v>8.3179999999999996</v>
      </c>
      <c r="R15" s="8">
        <f>1778.51+0.03</f>
        <v>1778.54</v>
      </c>
      <c r="S15" s="37">
        <v>109.1</v>
      </c>
      <c r="V15" s="9">
        <f t="shared" si="2"/>
        <v>2.1819999999999999</v>
      </c>
      <c r="Z15" s="8">
        <f>1778.51+0.03</f>
        <v>1778.54</v>
      </c>
      <c r="AA15" s="37">
        <v>408.1</v>
      </c>
      <c r="AD15" s="5">
        <f t="shared" si="3"/>
        <v>8.1620000000000008</v>
      </c>
      <c r="AH15" s="37">
        <f>1778.51+0.03</f>
        <v>1778.54</v>
      </c>
      <c r="AI15" s="37">
        <v>138.6</v>
      </c>
      <c r="AL15" s="9">
        <f t="shared" si="4"/>
        <v>2.7719999999999998</v>
      </c>
      <c r="AP15" s="37">
        <f>1778.51+0.03</f>
        <v>1778.54</v>
      </c>
      <c r="AQ15" s="8">
        <v>396.8</v>
      </c>
      <c r="AT15" s="9">
        <f t="shared" si="5"/>
        <v>7.9359999999999999</v>
      </c>
      <c r="BB15" s="31"/>
      <c r="BC15" s="16"/>
    </row>
    <row r="16" spans="2:70" x14ac:dyDescent="0.25">
      <c r="B16" s="8">
        <f>1778.51+0.04</f>
        <v>1778.55</v>
      </c>
      <c r="C16" s="37">
        <v>152.60000000000002</v>
      </c>
      <c r="F16" s="9">
        <f t="shared" si="0"/>
        <v>3.0520000000000005</v>
      </c>
      <c r="J16" s="8">
        <f>1778.51+0.04</f>
        <v>1778.55</v>
      </c>
      <c r="K16" s="8">
        <v>417.7</v>
      </c>
      <c r="N16" s="5">
        <f t="shared" si="1"/>
        <v>8.3539999999999992</v>
      </c>
      <c r="R16" s="8">
        <f>1778.51+0.03</f>
        <v>1778.54</v>
      </c>
      <c r="S16" s="37">
        <v>103.3</v>
      </c>
      <c r="V16" s="9">
        <f t="shared" si="2"/>
        <v>2.0659999999999998</v>
      </c>
      <c r="Z16" s="8">
        <f>1778.51+0.03</f>
        <v>1778.54</v>
      </c>
      <c r="AA16" s="37">
        <v>403</v>
      </c>
      <c r="AD16" s="5">
        <f t="shared" si="3"/>
        <v>8.06</v>
      </c>
      <c r="AH16" s="37">
        <f>1778.51+0.03</f>
        <v>1778.54</v>
      </c>
      <c r="AI16" s="37">
        <v>136.9</v>
      </c>
      <c r="AL16" s="9">
        <f t="shared" si="4"/>
        <v>2.738</v>
      </c>
      <c r="AP16" s="37">
        <f>1778.51+0.03</f>
        <v>1778.54</v>
      </c>
      <c r="AQ16" s="8">
        <v>395.1</v>
      </c>
      <c r="AT16" s="9">
        <f t="shared" si="5"/>
        <v>7.9020000000000001</v>
      </c>
      <c r="BB16" s="31"/>
      <c r="BC16" s="16"/>
    </row>
    <row r="17" spans="2:70" x14ac:dyDescent="0.25">
      <c r="B17" s="8">
        <f>1778.51+0.04</f>
        <v>1778.55</v>
      </c>
      <c r="C17" s="37">
        <v>148.19999999999999</v>
      </c>
      <c r="F17" s="9">
        <f t="shared" si="0"/>
        <v>2.964</v>
      </c>
      <c r="J17" s="8">
        <f>1778.51+0.04</f>
        <v>1778.55</v>
      </c>
      <c r="K17" s="8">
        <v>424.9</v>
      </c>
      <c r="N17" s="5">
        <f t="shared" si="1"/>
        <v>8.4979999999999993</v>
      </c>
      <c r="R17" s="8">
        <f>1778.51+0.04</f>
        <v>1778.55</v>
      </c>
      <c r="S17" s="37">
        <v>103.8</v>
      </c>
      <c r="V17" s="9">
        <f t="shared" si="2"/>
        <v>2.0760000000000001</v>
      </c>
      <c r="Z17" s="8">
        <f>1778.51+0.04</f>
        <v>1778.55</v>
      </c>
      <c r="AA17" s="37">
        <v>408.9</v>
      </c>
      <c r="AD17" s="5">
        <f t="shared" si="3"/>
        <v>8.177999999999999</v>
      </c>
      <c r="AH17" s="37">
        <f>1778.51+0.04</f>
        <v>1778.55</v>
      </c>
      <c r="AI17" s="37">
        <v>128.9</v>
      </c>
      <c r="AL17" s="9">
        <f t="shared" si="4"/>
        <v>2.5780000000000003</v>
      </c>
      <c r="AP17" s="37">
        <f>1778.51+0.04</f>
        <v>1778.55</v>
      </c>
      <c r="AQ17" s="8">
        <v>394.6</v>
      </c>
      <c r="AT17" s="9">
        <f t="shared" si="5"/>
        <v>7.8920000000000003</v>
      </c>
      <c r="BB17" s="31"/>
      <c r="BC17" s="16"/>
    </row>
    <row r="18" spans="2:70" x14ac:dyDescent="0.25">
      <c r="B18" s="8">
        <f>1778.51+0.04</f>
        <v>1778.55</v>
      </c>
      <c r="C18" s="37">
        <v>157.80000000000001</v>
      </c>
      <c r="F18" s="9">
        <f t="shared" si="0"/>
        <v>3.1560000000000001</v>
      </c>
      <c r="J18" s="8">
        <f>1778.51+0.04</f>
        <v>1778.55</v>
      </c>
      <c r="K18" s="8">
        <v>434.2</v>
      </c>
      <c r="N18" s="5">
        <f t="shared" si="1"/>
        <v>8.6839999999999993</v>
      </c>
      <c r="R18" s="8">
        <f>1778.51+0.04</f>
        <v>1778.55</v>
      </c>
      <c r="S18" s="37">
        <v>99.4</v>
      </c>
      <c r="V18" s="9">
        <f t="shared" si="2"/>
        <v>1.9880000000000002</v>
      </c>
      <c r="Z18" s="8">
        <f>1778.51+0.04</f>
        <v>1778.55</v>
      </c>
      <c r="AA18" s="37">
        <v>402.9</v>
      </c>
      <c r="AD18" s="5">
        <f t="shared" si="3"/>
        <v>8.0579999999999998</v>
      </c>
      <c r="AH18" s="37">
        <f>1778.51+0.04</f>
        <v>1778.55</v>
      </c>
      <c r="AI18" s="37">
        <v>130.69999999999999</v>
      </c>
      <c r="AL18" s="9">
        <f t="shared" si="4"/>
        <v>2.6139999999999999</v>
      </c>
      <c r="AP18" s="37">
        <f>1778.51+0.04</f>
        <v>1778.55</v>
      </c>
      <c r="AQ18" s="8">
        <v>394.4</v>
      </c>
      <c r="AT18" s="9">
        <f t="shared" si="5"/>
        <v>7.8879999999999999</v>
      </c>
      <c r="AY18" s="2"/>
      <c r="AZ18" s="15" t="s">
        <v>3</v>
      </c>
    </row>
    <row r="19" spans="2:70" x14ac:dyDescent="0.25">
      <c r="B19" s="8">
        <f>1778.51+0.04</f>
        <v>1778.55</v>
      </c>
      <c r="C19" s="37">
        <v>157.60000000000002</v>
      </c>
      <c r="F19" s="9">
        <f t="shared" si="0"/>
        <v>3.1520000000000006</v>
      </c>
      <c r="J19" s="8">
        <f>1778.51+0.04</f>
        <v>1778.55</v>
      </c>
      <c r="K19" s="8">
        <v>435.9</v>
      </c>
      <c r="N19" s="5">
        <f t="shared" si="1"/>
        <v>8.718</v>
      </c>
      <c r="R19" s="8">
        <f>1778.51+0.04</f>
        <v>1778.55</v>
      </c>
      <c r="S19" s="37">
        <v>95.94</v>
      </c>
      <c r="V19" s="9">
        <f t="shared" si="2"/>
        <v>1.9188000000000001</v>
      </c>
      <c r="Z19" s="8">
        <f>1778.51+0.04</f>
        <v>1778.55</v>
      </c>
      <c r="AA19" s="37">
        <v>396.2</v>
      </c>
      <c r="AD19" s="5">
        <f t="shared" si="3"/>
        <v>7.9239999999999995</v>
      </c>
      <c r="AH19" s="37">
        <f>1778.51+0.04</f>
        <v>1778.55</v>
      </c>
      <c r="AI19" s="37">
        <v>138.6</v>
      </c>
      <c r="AL19" s="9">
        <f t="shared" si="4"/>
        <v>2.7719999999999998</v>
      </c>
      <c r="AP19" s="37">
        <f>1778.51+0.04</f>
        <v>1778.55</v>
      </c>
      <c r="AQ19" s="8">
        <v>411.4</v>
      </c>
      <c r="AT19" s="9">
        <f t="shared" si="5"/>
        <v>8.2279999999999998</v>
      </c>
      <c r="AY19" s="12" t="s">
        <v>30</v>
      </c>
      <c r="AZ19" s="27">
        <f>AZ7</f>
        <v>2.7791111111111113</v>
      </c>
      <c r="BA19" s="30" t="s">
        <v>18</v>
      </c>
    </row>
    <row r="20" spans="2:70" x14ac:dyDescent="0.25">
      <c r="B20" s="8">
        <f>1778.51+0.04</f>
        <v>1778.55</v>
      </c>
      <c r="C20" s="37">
        <v>154.5</v>
      </c>
      <c r="F20" s="9">
        <f t="shared" si="0"/>
        <v>3.09</v>
      </c>
      <c r="J20" s="8">
        <f>1778.51+0.04</f>
        <v>1778.55</v>
      </c>
      <c r="K20" s="8">
        <v>442.3</v>
      </c>
      <c r="N20" s="5">
        <f t="shared" si="1"/>
        <v>8.8460000000000001</v>
      </c>
      <c r="R20" s="8">
        <f>1778.51+0.04</f>
        <v>1778.55</v>
      </c>
      <c r="S20" s="37">
        <v>94.37</v>
      </c>
      <c r="V20" s="9">
        <f t="shared" si="2"/>
        <v>1.8874000000000002</v>
      </c>
      <c r="Z20" s="8">
        <f>1778.51+0.04</f>
        <v>1778.55</v>
      </c>
      <c r="AA20" s="37">
        <v>395.5</v>
      </c>
      <c r="AD20" s="5">
        <f t="shared" si="3"/>
        <v>7.91</v>
      </c>
      <c r="AH20" s="37">
        <f>1778.51+0.04</f>
        <v>1778.55</v>
      </c>
      <c r="AI20" s="37">
        <v>145.1</v>
      </c>
      <c r="AL20" s="9">
        <f t="shared" si="4"/>
        <v>2.9019999999999997</v>
      </c>
      <c r="AP20" s="37">
        <f>1778.51+0.04</f>
        <v>1778.55</v>
      </c>
      <c r="AQ20" s="8">
        <v>426.9</v>
      </c>
      <c r="AT20" s="9">
        <f t="shared" si="5"/>
        <v>8.5380000000000003</v>
      </c>
      <c r="AY20" s="12" t="s">
        <v>31</v>
      </c>
      <c r="AZ20" s="27">
        <f>AZ9</f>
        <v>2.2152655737704916</v>
      </c>
      <c r="BA20" s="30" t="s">
        <v>18</v>
      </c>
    </row>
    <row r="21" spans="2:70" x14ac:dyDescent="0.25">
      <c r="B21" s="8">
        <f>1778.51+0.05</f>
        <v>1778.56</v>
      </c>
      <c r="C21" s="37">
        <v>152.5</v>
      </c>
      <c r="F21" s="9">
        <f t="shared" si="0"/>
        <v>3.05</v>
      </c>
      <c r="J21" s="8">
        <f>1778.51+0.05</f>
        <v>1778.56</v>
      </c>
      <c r="K21" s="8">
        <v>451.9</v>
      </c>
      <c r="N21" s="5">
        <f t="shared" si="1"/>
        <v>9.0380000000000003</v>
      </c>
      <c r="R21" s="8">
        <f>1778.51+0.04</f>
        <v>1778.55</v>
      </c>
      <c r="S21" s="37">
        <v>98.24</v>
      </c>
      <c r="V21" s="9">
        <f t="shared" si="2"/>
        <v>1.9647999999999999</v>
      </c>
      <c r="Z21" s="8">
        <f>1778.51+0.04</f>
        <v>1778.55</v>
      </c>
      <c r="AA21" s="37">
        <v>402.2</v>
      </c>
      <c r="AD21" s="5">
        <f t="shared" si="3"/>
        <v>8.0440000000000005</v>
      </c>
      <c r="AH21" s="37">
        <f>1778.51+0.04</f>
        <v>1778.55</v>
      </c>
      <c r="AI21" s="37">
        <v>147.5</v>
      </c>
      <c r="AL21" s="9">
        <f t="shared" si="4"/>
        <v>2.95</v>
      </c>
      <c r="AP21" s="37">
        <f>1778.51+0.04</f>
        <v>1778.55</v>
      </c>
      <c r="AQ21" s="8">
        <v>421.2</v>
      </c>
      <c r="AT21" s="9">
        <f t="shared" si="5"/>
        <v>8.4239999999999995</v>
      </c>
      <c r="AY21" s="1" t="s">
        <v>32</v>
      </c>
      <c r="AZ21" s="27">
        <f>AZ11</f>
        <v>2.8295833333333338</v>
      </c>
      <c r="BA21" s="30" t="s">
        <v>18</v>
      </c>
    </row>
    <row r="22" spans="2:70" x14ac:dyDescent="0.25">
      <c r="B22" s="8">
        <f>1778.51+0.05</f>
        <v>1778.56</v>
      </c>
      <c r="C22" s="37">
        <v>152.60000000000002</v>
      </c>
      <c r="F22" s="9">
        <f t="shared" si="0"/>
        <v>3.0520000000000005</v>
      </c>
      <c r="J22" s="8">
        <f>1778.51+0.05</f>
        <v>1778.56</v>
      </c>
      <c r="K22" s="8">
        <v>455.3</v>
      </c>
      <c r="N22" s="5">
        <f t="shared" si="1"/>
        <v>9.1059999999999999</v>
      </c>
      <c r="R22" s="8">
        <f>1778.51+0.05</f>
        <v>1778.56</v>
      </c>
      <c r="S22" s="37">
        <v>100.5</v>
      </c>
      <c r="V22" s="9">
        <f t="shared" si="2"/>
        <v>2.0099999999999998</v>
      </c>
      <c r="Z22" s="8">
        <f>1778.51+0.05</f>
        <v>1778.56</v>
      </c>
      <c r="AA22" s="37">
        <v>404.1</v>
      </c>
      <c r="AD22" s="5">
        <f t="shared" si="3"/>
        <v>8.0820000000000007</v>
      </c>
      <c r="AH22" s="37">
        <f>1778.51+0.05</f>
        <v>1778.56</v>
      </c>
      <c r="AI22" s="37">
        <v>152.19999999999999</v>
      </c>
      <c r="AL22" s="9">
        <f t="shared" si="4"/>
        <v>3.0439999999999996</v>
      </c>
      <c r="AP22" s="37">
        <f>1778.51+0.05</f>
        <v>1778.56</v>
      </c>
      <c r="AQ22" s="8">
        <v>412.7</v>
      </c>
      <c r="AT22" s="9">
        <f t="shared" si="5"/>
        <v>8.2539999999999996</v>
      </c>
      <c r="AY22" s="12" t="s">
        <v>34</v>
      </c>
      <c r="AZ22" s="27">
        <f>AZ8</f>
        <v>8.6038253968253944</v>
      </c>
      <c r="BA22" s="30" t="s">
        <v>18</v>
      </c>
    </row>
    <row r="23" spans="2:70" x14ac:dyDescent="0.25">
      <c r="B23" s="8">
        <f>1778.51+0.05</f>
        <v>1778.56</v>
      </c>
      <c r="C23" s="37">
        <v>147.69999999999999</v>
      </c>
      <c r="F23" s="9">
        <f t="shared" si="0"/>
        <v>2.9539999999999997</v>
      </c>
      <c r="J23" s="8">
        <f>1778.51+0.05</f>
        <v>1778.56</v>
      </c>
      <c r="K23" s="8">
        <v>451</v>
      </c>
      <c r="N23" s="5">
        <f t="shared" si="1"/>
        <v>9.02</v>
      </c>
      <c r="R23" s="8">
        <f>1778.51+0.05</f>
        <v>1778.56</v>
      </c>
      <c r="S23" s="37">
        <v>98.51</v>
      </c>
      <c r="V23" s="9">
        <f t="shared" si="2"/>
        <v>1.9702000000000002</v>
      </c>
      <c r="Z23" s="8">
        <f>1778.51+0.05</f>
        <v>1778.56</v>
      </c>
      <c r="AA23" s="37">
        <v>403.5</v>
      </c>
      <c r="AD23" s="5">
        <f t="shared" si="3"/>
        <v>8.07</v>
      </c>
      <c r="AH23" s="37">
        <f>1778.51+0.05</f>
        <v>1778.56</v>
      </c>
      <c r="AI23" s="37">
        <v>146.30000000000001</v>
      </c>
      <c r="AL23" s="9">
        <f t="shared" si="4"/>
        <v>2.9260000000000002</v>
      </c>
      <c r="AP23" s="37">
        <f>1778.51+0.05</f>
        <v>1778.56</v>
      </c>
      <c r="AQ23" s="8">
        <v>404.2</v>
      </c>
      <c r="AT23" s="9">
        <f t="shared" si="5"/>
        <v>8.0839999999999996</v>
      </c>
      <c r="AY23" s="12" t="s">
        <v>35</v>
      </c>
      <c r="AZ23" s="27">
        <f>AZ10</f>
        <v>8.1719344262295106</v>
      </c>
      <c r="BA23" s="30" t="s">
        <v>18</v>
      </c>
    </row>
    <row r="24" spans="2:70" x14ac:dyDescent="0.25">
      <c r="B24" s="8">
        <f>1778.51+0.05</f>
        <v>1778.56</v>
      </c>
      <c r="C24" s="37">
        <v>154.10000000000002</v>
      </c>
      <c r="F24" s="9">
        <f t="shared" si="0"/>
        <v>3.0820000000000003</v>
      </c>
      <c r="J24" s="8">
        <f>1778.51+0.05</f>
        <v>1778.56</v>
      </c>
      <c r="K24" s="8">
        <v>441.4</v>
      </c>
      <c r="N24" s="5">
        <f t="shared" si="1"/>
        <v>8.8279999999999994</v>
      </c>
      <c r="R24" s="8">
        <f>1778.51+0.05</f>
        <v>1778.56</v>
      </c>
      <c r="S24" s="37">
        <v>95.75</v>
      </c>
      <c r="V24" s="9">
        <f t="shared" si="2"/>
        <v>1.915</v>
      </c>
      <c r="Z24" s="8">
        <f>1778.51+0.05</f>
        <v>1778.56</v>
      </c>
      <c r="AA24" s="37">
        <v>401.2</v>
      </c>
      <c r="AD24" s="5">
        <f t="shared" si="3"/>
        <v>8.0239999999999991</v>
      </c>
      <c r="AH24" s="37">
        <f>1778.51+0.05</f>
        <v>1778.56</v>
      </c>
      <c r="AI24" s="37">
        <v>137.19999999999999</v>
      </c>
      <c r="AL24" s="9">
        <f t="shared" si="4"/>
        <v>2.7439999999999998</v>
      </c>
      <c r="AP24" s="37">
        <f>1778.51+0.05</f>
        <v>1778.56</v>
      </c>
      <c r="AQ24" s="8">
        <v>411.5</v>
      </c>
      <c r="AT24" s="9">
        <f t="shared" si="5"/>
        <v>8.23</v>
      </c>
      <c r="AY24" s="12" t="s">
        <v>33</v>
      </c>
      <c r="AZ24" s="27">
        <f>AZ12</f>
        <v>8.2030416666666692</v>
      </c>
      <c r="BA24" s="30" t="s">
        <v>18</v>
      </c>
    </row>
    <row r="25" spans="2:70" x14ac:dyDescent="0.25">
      <c r="B25" s="8">
        <f>1778.51+0.05</f>
        <v>1778.56</v>
      </c>
      <c r="C25" s="37">
        <v>160.60000000000002</v>
      </c>
      <c r="F25" s="9">
        <f t="shared" si="0"/>
        <v>3.2120000000000006</v>
      </c>
      <c r="J25" s="8">
        <f>1778.51+0.05</f>
        <v>1778.56</v>
      </c>
      <c r="K25" s="8">
        <v>440.7</v>
      </c>
      <c r="N25" s="5">
        <f t="shared" si="1"/>
        <v>8.8140000000000001</v>
      </c>
      <c r="R25" s="8">
        <f>1778.51+0.05</f>
        <v>1778.56</v>
      </c>
      <c r="S25" s="37">
        <v>94.54</v>
      </c>
      <c r="V25" s="9">
        <f t="shared" si="2"/>
        <v>1.8908</v>
      </c>
      <c r="Z25" s="8">
        <f>1778.51+0.05</f>
        <v>1778.56</v>
      </c>
      <c r="AA25" s="37">
        <v>397</v>
      </c>
      <c r="AD25" s="5">
        <f t="shared" si="3"/>
        <v>7.94</v>
      </c>
      <c r="AH25" s="37">
        <f>1778.51+0.05</f>
        <v>1778.56</v>
      </c>
      <c r="AI25" s="37">
        <v>140.1</v>
      </c>
      <c r="AL25" s="9">
        <f t="shared" si="4"/>
        <v>2.802</v>
      </c>
      <c r="AP25" s="37">
        <f>1778.51+0.05</f>
        <v>1778.56</v>
      </c>
      <c r="AQ25" s="8">
        <v>430.8</v>
      </c>
      <c r="AT25" s="9">
        <f t="shared" si="5"/>
        <v>8.6159999999999997</v>
      </c>
      <c r="AY25" s="12"/>
      <c r="AZ25" s="27"/>
      <c r="BA25" s="30"/>
    </row>
    <row r="26" spans="2:70" x14ac:dyDescent="0.25">
      <c r="B26" s="8">
        <f>1778.51+0.06</f>
        <v>1778.57</v>
      </c>
      <c r="C26" s="37">
        <v>166.2</v>
      </c>
      <c r="F26" s="9">
        <f t="shared" si="0"/>
        <v>3.3239999999999998</v>
      </c>
      <c r="J26" s="8">
        <f>1778.51+0.06</f>
        <v>1778.57</v>
      </c>
      <c r="K26" s="8">
        <v>435.4</v>
      </c>
      <c r="N26" s="5">
        <f t="shared" si="1"/>
        <v>8.7080000000000002</v>
      </c>
      <c r="R26" s="8">
        <f>1778.51+0.05</f>
        <v>1778.56</v>
      </c>
      <c r="S26" s="37">
        <v>85.68</v>
      </c>
      <c r="V26" s="9">
        <f t="shared" si="2"/>
        <v>1.7136000000000002</v>
      </c>
      <c r="Z26" s="8">
        <f>1778.51+0.05</f>
        <v>1778.56</v>
      </c>
      <c r="AA26" s="37">
        <v>379.2</v>
      </c>
      <c r="AD26" s="5">
        <f t="shared" si="3"/>
        <v>7.5839999999999996</v>
      </c>
      <c r="AH26" s="37">
        <f>1778.51+0.05</f>
        <v>1778.56</v>
      </c>
      <c r="AI26" s="37">
        <v>142.4</v>
      </c>
      <c r="AL26" s="9">
        <f t="shared" si="4"/>
        <v>2.8480000000000003</v>
      </c>
      <c r="AP26" s="37">
        <f>1778.51+0.05</f>
        <v>1778.56</v>
      </c>
      <c r="AQ26" s="8">
        <v>437</v>
      </c>
      <c r="AT26" s="9">
        <f t="shared" si="5"/>
        <v>8.74</v>
      </c>
      <c r="AY26" s="12"/>
      <c r="AZ26" s="27"/>
      <c r="BA26" s="30"/>
    </row>
    <row r="27" spans="2:70" x14ac:dyDescent="0.25">
      <c r="B27" s="8">
        <f>1778.51+0.06</f>
        <v>1778.57</v>
      </c>
      <c r="C27" s="37">
        <v>175.89999999999998</v>
      </c>
      <c r="F27" s="9">
        <f t="shared" si="0"/>
        <v>3.5179999999999993</v>
      </c>
      <c r="J27" s="8">
        <f>1778.51+0.06</f>
        <v>1778.57</v>
      </c>
      <c r="K27" s="8">
        <v>427.3</v>
      </c>
      <c r="N27" s="5">
        <f t="shared" si="1"/>
        <v>8.5459999999999994</v>
      </c>
      <c r="R27" s="8">
        <f>1778.51+0.06</f>
        <v>1778.57</v>
      </c>
      <c r="S27" s="37">
        <v>82.5</v>
      </c>
      <c r="V27" s="9">
        <f t="shared" si="2"/>
        <v>1.65</v>
      </c>
      <c r="Z27" s="8">
        <f>1778.51+0.06</f>
        <v>1778.57</v>
      </c>
      <c r="AA27" s="37">
        <v>370.6</v>
      </c>
      <c r="AD27" s="5">
        <f t="shared" si="3"/>
        <v>7.4120000000000008</v>
      </c>
      <c r="AH27" s="37">
        <f>1778.51+0.06</f>
        <v>1778.57</v>
      </c>
      <c r="AI27" s="37">
        <v>144.19999999999999</v>
      </c>
      <c r="AL27" s="9">
        <f t="shared" si="4"/>
        <v>2.8839999999999999</v>
      </c>
      <c r="AP27" s="37">
        <f>1778.51+0.06</f>
        <v>1778.57</v>
      </c>
      <c r="AQ27" s="8">
        <v>441.4</v>
      </c>
      <c r="AT27" s="9">
        <f t="shared" si="5"/>
        <v>8.8279999999999994</v>
      </c>
      <c r="AY27" s="12"/>
      <c r="AZ27" s="27"/>
      <c r="BA27" s="30"/>
    </row>
    <row r="28" spans="2:70" x14ac:dyDescent="0.25">
      <c r="B28" s="8">
        <f>1778.51+0.06</f>
        <v>1778.57</v>
      </c>
      <c r="C28" s="37">
        <v>182.10000000000002</v>
      </c>
      <c r="F28" s="9">
        <f t="shared" si="0"/>
        <v>3.6420000000000003</v>
      </c>
      <c r="J28" s="8">
        <f>1778.51+0.06</f>
        <v>1778.57</v>
      </c>
      <c r="K28" s="8">
        <v>424.9</v>
      </c>
      <c r="N28" s="5">
        <f t="shared" si="1"/>
        <v>8.4979999999999993</v>
      </c>
      <c r="R28" s="8">
        <f>1778.51+0.06</f>
        <v>1778.57</v>
      </c>
      <c r="S28" s="37">
        <v>86.8</v>
      </c>
      <c r="V28" s="9">
        <f t="shared" si="2"/>
        <v>1.736</v>
      </c>
      <c r="Z28" s="8">
        <f>1778.51+0.06</f>
        <v>1778.57</v>
      </c>
      <c r="AA28" s="37">
        <v>377.7</v>
      </c>
      <c r="AD28" s="5">
        <f t="shared" si="3"/>
        <v>7.5539999999999994</v>
      </c>
      <c r="AH28" s="37">
        <f>1778.51+0.06</f>
        <v>1778.57</v>
      </c>
      <c r="AI28" s="37">
        <v>154.5</v>
      </c>
      <c r="AL28" s="9">
        <f t="shared" si="4"/>
        <v>3.09</v>
      </c>
      <c r="AP28" s="37">
        <f>1778.51+0.06</f>
        <v>1778.57</v>
      </c>
      <c r="AQ28" s="8">
        <v>443.1</v>
      </c>
      <c r="AT28" s="9">
        <f t="shared" si="5"/>
        <v>8.8620000000000001</v>
      </c>
      <c r="AY28" s="12"/>
      <c r="AZ28" s="27"/>
      <c r="BA28" s="30"/>
    </row>
    <row r="29" spans="2:70" x14ac:dyDescent="0.25">
      <c r="B29" s="8">
        <f>1778.51+0.06</f>
        <v>1778.57</v>
      </c>
      <c r="C29" s="37">
        <v>181.2</v>
      </c>
      <c r="F29" s="9">
        <f t="shared" si="0"/>
        <v>3.6239999999999997</v>
      </c>
      <c r="J29" s="8">
        <f>1778.51+0.06</f>
        <v>1778.57</v>
      </c>
      <c r="K29" s="8">
        <v>436.2</v>
      </c>
      <c r="N29" s="5">
        <f t="shared" si="1"/>
        <v>8.7240000000000002</v>
      </c>
      <c r="R29" s="8">
        <f>1778.51+0.06</f>
        <v>1778.57</v>
      </c>
      <c r="S29" s="37">
        <v>101</v>
      </c>
      <c r="V29" s="9">
        <f t="shared" si="2"/>
        <v>2.02</v>
      </c>
      <c r="Z29" s="8">
        <f>1778.51+0.06</f>
        <v>1778.57</v>
      </c>
      <c r="AA29" s="37">
        <v>393</v>
      </c>
      <c r="AD29" s="5">
        <f t="shared" si="3"/>
        <v>7.86</v>
      </c>
      <c r="AH29" s="37">
        <f>1778.51+0.06</f>
        <v>1778.57</v>
      </c>
      <c r="AI29" s="37">
        <v>163.80000000000001</v>
      </c>
      <c r="AL29" s="9">
        <f t="shared" si="4"/>
        <v>3.2760000000000002</v>
      </c>
      <c r="AP29" s="37">
        <f>1778.51+0.06</f>
        <v>1778.57</v>
      </c>
      <c r="AQ29" s="8">
        <v>442.8</v>
      </c>
      <c r="AT29" s="9">
        <f t="shared" si="5"/>
        <v>8.8559999999999999</v>
      </c>
      <c r="AY29" s="14"/>
      <c r="AZ29" s="14"/>
    </row>
    <row r="30" spans="2:70" x14ac:dyDescent="0.25">
      <c r="B30" s="8">
        <f>1778.51+0.06</f>
        <v>1778.57</v>
      </c>
      <c r="C30" s="37">
        <v>179.8</v>
      </c>
      <c r="F30" s="9">
        <f t="shared" si="0"/>
        <v>3.5960000000000001</v>
      </c>
      <c r="J30" s="8">
        <f>1778.51+0.06</f>
        <v>1778.57</v>
      </c>
      <c r="K30" s="8">
        <v>430.6</v>
      </c>
      <c r="N30" s="5">
        <f t="shared" si="1"/>
        <v>8.6120000000000001</v>
      </c>
      <c r="R30" s="8">
        <f>1778.51+0.06</f>
        <v>1778.57</v>
      </c>
      <c r="S30" s="37">
        <v>98.27</v>
      </c>
      <c r="V30" s="9">
        <f t="shared" si="2"/>
        <v>1.9653999999999998</v>
      </c>
      <c r="Z30" s="8">
        <f>1778.51+0.06</f>
        <v>1778.57</v>
      </c>
      <c r="AA30" s="37">
        <v>391.1</v>
      </c>
      <c r="AD30" s="5">
        <f t="shared" si="3"/>
        <v>7.8220000000000001</v>
      </c>
      <c r="AH30" s="37">
        <f>1778.51+0.06</f>
        <v>1778.57</v>
      </c>
      <c r="AI30" s="37">
        <v>162.80000000000001</v>
      </c>
      <c r="AL30" s="9">
        <f t="shared" si="4"/>
        <v>3.2560000000000002</v>
      </c>
      <c r="AP30" s="37">
        <f>1778.51+0.06</f>
        <v>1778.57</v>
      </c>
      <c r="AQ30" s="8">
        <v>421.1</v>
      </c>
      <c r="AT30" s="9">
        <f t="shared" si="5"/>
        <v>8.4220000000000006</v>
      </c>
      <c r="AY30" s="14"/>
      <c r="AZ30" s="14"/>
      <c r="BR30" s="6" t="s">
        <v>66</v>
      </c>
    </row>
    <row r="31" spans="2:70" x14ac:dyDescent="0.25">
      <c r="B31" s="8">
        <f>1778.51+0.07</f>
        <v>1778.58</v>
      </c>
      <c r="C31" s="37">
        <v>175</v>
      </c>
      <c r="F31" s="9">
        <f t="shared" si="0"/>
        <v>3.5</v>
      </c>
      <c r="J31" s="8">
        <f>1778.51+0.07</f>
        <v>1778.58</v>
      </c>
      <c r="K31" s="8">
        <v>421.4</v>
      </c>
      <c r="N31" s="5">
        <f t="shared" si="1"/>
        <v>8.427999999999999</v>
      </c>
      <c r="R31" s="8">
        <f>1778.51+0.06</f>
        <v>1778.57</v>
      </c>
      <c r="S31" s="37">
        <v>99.32</v>
      </c>
      <c r="V31" s="9">
        <f t="shared" si="2"/>
        <v>1.9863999999999999</v>
      </c>
      <c r="Z31" s="8">
        <f>1778.51+0.06</f>
        <v>1778.57</v>
      </c>
      <c r="AA31" s="37">
        <v>392.7</v>
      </c>
      <c r="AD31" s="5">
        <f t="shared" si="3"/>
        <v>7.8540000000000001</v>
      </c>
      <c r="AH31" s="37">
        <f>1778.51+0.06</f>
        <v>1778.57</v>
      </c>
      <c r="AI31" s="37">
        <v>160.6</v>
      </c>
      <c r="AL31" s="9">
        <f t="shared" si="4"/>
        <v>3.2119999999999997</v>
      </c>
      <c r="AP31" s="37">
        <f>1778.51+0.06</f>
        <v>1778.57</v>
      </c>
      <c r="AQ31" s="8">
        <v>406.7</v>
      </c>
      <c r="AT31" s="9">
        <f t="shared" si="5"/>
        <v>8.1340000000000003</v>
      </c>
      <c r="AY31" s="14"/>
      <c r="AZ31" s="23"/>
    </row>
    <row r="32" spans="2:70" x14ac:dyDescent="0.25">
      <c r="B32" s="8">
        <f>1778.51+0.07</f>
        <v>1778.58</v>
      </c>
      <c r="C32" s="37">
        <v>138.89999999999998</v>
      </c>
      <c r="F32" s="9">
        <f t="shared" si="0"/>
        <v>2.7779999999999996</v>
      </c>
      <c r="J32" s="8">
        <f>1778.51+0.07</f>
        <v>1778.58</v>
      </c>
      <c r="K32" s="8">
        <v>419.9</v>
      </c>
      <c r="N32" s="5">
        <f t="shared" si="1"/>
        <v>8.3979999999999997</v>
      </c>
      <c r="R32" s="8">
        <f>1778.51+0.07</f>
        <v>1778.58</v>
      </c>
      <c r="S32" s="37">
        <v>101.2</v>
      </c>
      <c r="V32" s="9">
        <f t="shared" si="2"/>
        <v>2.024</v>
      </c>
      <c r="Z32" s="8">
        <f>1778.51+0.07</f>
        <v>1778.58</v>
      </c>
      <c r="AA32" s="37">
        <v>393.3</v>
      </c>
      <c r="AD32" s="5">
        <f t="shared" si="3"/>
        <v>7.8660000000000005</v>
      </c>
      <c r="AH32" s="37">
        <f>1778.51+0.07</f>
        <v>1778.58</v>
      </c>
      <c r="AI32" s="37">
        <v>158</v>
      </c>
      <c r="AL32" s="9">
        <f t="shared" si="4"/>
        <v>3.16</v>
      </c>
      <c r="AP32" s="37">
        <f>1778.51+0.07</f>
        <v>1778.58</v>
      </c>
      <c r="AQ32" s="8">
        <v>403.1</v>
      </c>
      <c r="AT32" s="9">
        <f t="shared" si="5"/>
        <v>8.0620000000000012</v>
      </c>
      <c r="AY32" s="12"/>
      <c r="AZ32" s="27"/>
      <c r="BA32" s="30"/>
    </row>
    <row r="33" spans="2:53" x14ac:dyDescent="0.25">
      <c r="B33" s="8">
        <f>1778.51+0.07</f>
        <v>1778.58</v>
      </c>
      <c r="C33" s="37">
        <v>95.300000000000011</v>
      </c>
      <c r="F33" s="9">
        <f t="shared" si="0"/>
        <v>1.9060000000000001</v>
      </c>
      <c r="J33" s="8">
        <f>1778.51+0.07</f>
        <v>1778.58</v>
      </c>
      <c r="K33" s="8">
        <v>417.3</v>
      </c>
      <c r="N33" s="5">
        <f t="shared" si="1"/>
        <v>8.3460000000000001</v>
      </c>
      <c r="R33" s="8">
        <f>1778.51+0.07</f>
        <v>1778.58</v>
      </c>
      <c r="S33" s="37">
        <v>101.8</v>
      </c>
      <c r="V33" s="9">
        <f t="shared" si="2"/>
        <v>2.036</v>
      </c>
      <c r="Z33" s="8">
        <f>1778.51+0.07</f>
        <v>1778.58</v>
      </c>
      <c r="AA33" s="37">
        <v>388.8</v>
      </c>
      <c r="AD33" s="5">
        <f t="shared" si="3"/>
        <v>7.7759999999999998</v>
      </c>
      <c r="AH33" s="37">
        <f>1778.51+0.07</f>
        <v>1778.58</v>
      </c>
      <c r="AI33" s="37">
        <v>150.69999999999999</v>
      </c>
      <c r="AL33" s="9">
        <f t="shared" si="4"/>
        <v>3.0139999999999998</v>
      </c>
      <c r="AP33" s="37">
        <f>1778.51+0.07</f>
        <v>1778.58</v>
      </c>
      <c r="AQ33" s="8">
        <v>398.4</v>
      </c>
      <c r="AT33" s="9">
        <f t="shared" si="5"/>
        <v>7.968</v>
      </c>
      <c r="AY33" s="12"/>
      <c r="AZ33" s="27"/>
      <c r="BA33" s="30"/>
    </row>
    <row r="34" spans="2:53" x14ac:dyDescent="0.25">
      <c r="B34" s="8">
        <f>1778.51+0.07</f>
        <v>1778.58</v>
      </c>
      <c r="C34" s="37">
        <v>26.600000000000023</v>
      </c>
      <c r="F34" s="9">
        <f t="shared" si="0"/>
        <v>0.53200000000000047</v>
      </c>
      <c r="J34" s="8">
        <f>1778.51+0.07</f>
        <v>1778.58</v>
      </c>
      <c r="K34" s="8">
        <v>400.4</v>
      </c>
      <c r="N34" s="5">
        <f t="shared" si="1"/>
        <v>8.0079999999999991</v>
      </c>
      <c r="R34" s="8">
        <f>1778.51+0.07</f>
        <v>1778.58</v>
      </c>
      <c r="S34" s="37">
        <v>97.06</v>
      </c>
      <c r="V34" s="9">
        <f t="shared" si="2"/>
        <v>1.9412</v>
      </c>
      <c r="Z34" s="8">
        <f>1778.51+0.07</f>
        <v>1778.58</v>
      </c>
      <c r="AA34" s="37">
        <v>384.8</v>
      </c>
      <c r="AD34" s="5">
        <f t="shared" si="3"/>
        <v>7.6960000000000006</v>
      </c>
      <c r="AH34" s="37">
        <f>1778.51+0.07</f>
        <v>1778.58</v>
      </c>
      <c r="AI34" s="37">
        <v>144.19999999999999</v>
      </c>
      <c r="AL34" s="9">
        <f t="shared" si="4"/>
        <v>2.8839999999999999</v>
      </c>
      <c r="AP34" s="37">
        <f>1778.51+0.07</f>
        <v>1778.58</v>
      </c>
      <c r="AQ34" s="8">
        <v>393</v>
      </c>
      <c r="AT34" s="9">
        <f t="shared" si="5"/>
        <v>7.86</v>
      </c>
      <c r="AY34" s="12"/>
      <c r="AZ34" s="27"/>
      <c r="BA34" s="30"/>
    </row>
    <row r="35" spans="2:53" x14ac:dyDescent="0.25">
      <c r="B35" s="8">
        <f>1778.51+0.07</f>
        <v>1778.58</v>
      </c>
      <c r="C35" s="37">
        <v>13.899999999999977</v>
      </c>
      <c r="F35" s="9">
        <f t="shared" ref="F35:F65" si="6">(C35)/(8*($E$2^2)*$E$3)</f>
        <v>0.27799999999999953</v>
      </c>
      <c r="J35" s="8">
        <f>1778.51+0.07</f>
        <v>1778.58</v>
      </c>
      <c r="K35" s="8">
        <v>398.7</v>
      </c>
      <c r="N35" s="5">
        <f t="shared" si="1"/>
        <v>7.9740000000000002</v>
      </c>
      <c r="R35" s="8">
        <f>1778.51+0.07</f>
        <v>1778.58</v>
      </c>
      <c r="S35" s="37">
        <v>104.6</v>
      </c>
      <c r="V35" s="9">
        <f t="shared" si="2"/>
        <v>2.0920000000000001</v>
      </c>
      <c r="Z35" s="8">
        <f>1778.51+0.07</f>
        <v>1778.58</v>
      </c>
      <c r="AA35" s="37">
        <v>396.8</v>
      </c>
      <c r="AD35" s="5">
        <f t="shared" si="3"/>
        <v>7.9359999999999999</v>
      </c>
      <c r="AH35" s="37">
        <f>1778.51+0.07</f>
        <v>1778.58</v>
      </c>
      <c r="AI35" s="37">
        <v>135.9</v>
      </c>
      <c r="AL35" s="9">
        <f t="shared" si="4"/>
        <v>2.718</v>
      </c>
      <c r="AP35" s="37">
        <f>1778.51+0.07</f>
        <v>1778.58</v>
      </c>
      <c r="AQ35" s="8">
        <v>404.4</v>
      </c>
      <c r="AT35" s="9">
        <f t="shared" si="5"/>
        <v>8.0879999999999992</v>
      </c>
      <c r="AY35" s="12"/>
      <c r="AZ35" s="27"/>
      <c r="BA35" s="30"/>
    </row>
    <row r="36" spans="2:53" x14ac:dyDescent="0.25">
      <c r="B36" s="8">
        <f>1778.51+0.08</f>
        <v>1778.59</v>
      </c>
      <c r="C36" s="37">
        <v>18.300000000000011</v>
      </c>
      <c r="F36" s="9">
        <f t="shared" si="6"/>
        <v>0.36600000000000021</v>
      </c>
      <c r="J36" s="8">
        <f>1778.51+0.08</f>
        <v>1778.59</v>
      </c>
      <c r="K36" s="8">
        <v>401.1</v>
      </c>
      <c r="N36" s="5">
        <f t="shared" si="1"/>
        <v>8.0220000000000002</v>
      </c>
      <c r="R36" s="8">
        <f>1778.51+0.07</f>
        <v>1778.58</v>
      </c>
      <c r="S36" s="37">
        <v>115.1</v>
      </c>
      <c r="V36" s="9">
        <f t="shared" si="2"/>
        <v>2.302</v>
      </c>
      <c r="Z36" s="8">
        <f>1778.51+0.07</f>
        <v>1778.58</v>
      </c>
      <c r="AA36" s="37">
        <v>415.4</v>
      </c>
      <c r="AD36" s="5">
        <f t="shared" si="3"/>
        <v>8.3079999999999998</v>
      </c>
      <c r="AH36" s="37">
        <f>1778.51+0.07</f>
        <v>1778.58</v>
      </c>
      <c r="AI36" s="37">
        <v>134.69999999999999</v>
      </c>
      <c r="AL36" s="9">
        <f t="shared" si="4"/>
        <v>2.694</v>
      </c>
      <c r="AP36" s="37">
        <f>1778.51+0.07</f>
        <v>1778.58</v>
      </c>
      <c r="AQ36" s="8">
        <v>407.3</v>
      </c>
      <c r="AT36" s="9">
        <f t="shared" si="5"/>
        <v>8.1460000000000008</v>
      </c>
    </row>
    <row r="37" spans="2:53" x14ac:dyDescent="0.25">
      <c r="B37" s="8">
        <f>1778.51+0.08</f>
        <v>1778.59</v>
      </c>
      <c r="C37" s="37">
        <v>48.300000000000011</v>
      </c>
      <c r="F37" s="9">
        <f t="shared" si="6"/>
        <v>0.96600000000000019</v>
      </c>
      <c r="J37" s="8">
        <f>1778.51+0.08</f>
        <v>1778.59</v>
      </c>
      <c r="K37" s="8">
        <v>399.4</v>
      </c>
      <c r="N37" s="5">
        <f t="shared" si="1"/>
        <v>7.9879999999999995</v>
      </c>
      <c r="R37" s="8">
        <f>1778.51+0.08</f>
        <v>1778.59</v>
      </c>
      <c r="S37" s="37">
        <v>120.8</v>
      </c>
      <c r="V37" s="9">
        <f t="shared" si="2"/>
        <v>2.4159999999999999</v>
      </c>
      <c r="Z37" s="8">
        <f>1778.51+0.08</f>
        <v>1778.59</v>
      </c>
      <c r="AA37" s="37">
        <v>427</v>
      </c>
      <c r="AD37" s="5">
        <f t="shared" si="3"/>
        <v>8.5399999999999991</v>
      </c>
      <c r="AH37" s="37">
        <f>1778.51+0.08</f>
        <v>1778.59</v>
      </c>
      <c r="AI37" s="37">
        <v>139</v>
      </c>
      <c r="AL37" s="9">
        <f t="shared" si="4"/>
        <v>2.78</v>
      </c>
      <c r="AP37" s="37">
        <f>1778.51+0.08</f>
        <v>1778.59</v>
      </c>
      <c r="AQ37" s="8">
        <v>408.6</v>
      </c>
      <c r="AT37" s="9">
        <f t="shared" si="5"/>
        <v>8.1720000000000006</v>
      </c>
    </row>
    <row r="38" spans="2:53" x14ac:dyDescent="0.25">
      <c r="B38" s="8">
        <f>1778.51+0.08</f>
        <v>1778.59</v>
      </c>
      <c r="C38" s="37">
        <v>90.199999999999989</v>
      </c>
      <c r="F38" s="9">
        <f t="shared" si="6"/>
        <v>1.8039999999999998</v>
      </c>
      <c r="J38" s="8">
        <f>1778.51+0.08</f>
        <v>1778.59</v>
      </c>
      <c r="K38" s="8">
        <v>406.8</v>
      </c>
      <c r="N38" s="5">
        <f t="shared" si="1"/>
        <v>8.136000000000001</v>
      </c>
      <c r="R38" s="8">
        <f>1778.51+0.08</f>
        <v>1778.59</v>
      </c>
      <c r="S38" s="37">
        <v>123.3</v>
      </c>
      <c r="V38" s="9">
        <f t="shared" si="2"/>
        <v>2.4659999999999997</v>
      </c>
      <c r="Z38" s="8">
        <f>1778.51+0.08</f>
        <v>1778.59</v>
      </c>
      <c r="AA38" s="37">
        <v>429.3</v>
      </c>
      <c r="AD38" s="5">
        <f t="shared" si="3"/>
        <v>8.5860000000000003</v>
      </c>
      <c r="AH38" s="37">
        <f>1778.51+0.08</f>
        <v>1778.59</v>
      </c>
      <c r="AI38" s="37">
        <v>142.6</v>
      </c>
      <c r="AL38" s="9">
        <f t="shared" si="4"/>
        <v>2.8519999999999999</v>
      </c>
      <c r="AP38" s="37">
        <f>1778.51+0.08</f>
        <v>1778.59</v>
      </c>
      <c r="AQ38" s="8">
        <v>413</v>
      </c>
      <c r="AT38" s="9">
        <f t="shared" si="5"/>
        <v>8.26</v>
      </c>
    </row>
    <row r="39" spans="2:53" x14ac:dyDescent="0.25">
      <c r="B39" s="8">
        <f>1778.51+0.08</f>
        <v>1778.59</v>
      </c>
      <c r="C39" s="37">
        <v>157.5</v>
      </c>
      <c r="F39" s="9">
        <f t="shared" si="6"/>
        <v>3.15</v>
      </c>
      <c r="J39" s="8">
        <f>1778.51+0.08</f>
        <v>1778.59</v>
      </c>
      <c r="K39" s="8">
        <v>425.3</v>
      </c>
      <c r="N39" s="5">
        <f t="shared" si="1"/>
        <v>8.5060000000000002</v>
      </c>
      <c r="R39" s="8">
        <f>1778.51+0.08</f>
        <v>1778.59</v>
      </c>
      <c r="S39" s="37">
        <v>123</v>
      </c>
      <c r="V39" s="9">
        <f t="shared" si="2"/>
        <v>2.46</v>
      </c>
      <c r="Z39" s="8">
        <f>1778.51+0.08</f>
        <v>1778.59</v>
      </c>
      <c r="AA39" s="37">
        <v>427.3</v>
      </c>
      <c r="AD39" s="5">
        <f t="shared" si="3"/>
        <v>8.5459999999999994</v>
      </c>
      <c r="AH39" s="37">
        <f>1778.51+0.08</f>
        <v>1778.59</v>
      </c>
      <c r="AI39" s="37">
        <v>150.30000000000001</v>
      </c>
      <c r="AL39" s="9">
        <f t="shared" si="4"/>
        <v>3.0060000000000002</v>
      </c>
      <c r="AP39" s="37">
        <f>1778.51+0.08</f>
        <v>1778.59</v>
      </c>
      <c r="AQ39" s="8">
        <v>407.3</v>
      </c>
      <c r="AT39" s="9">
        <f t="shared" si="5"/>
        <v>8.1460000000000008</v>
      </c>
    </row>
    <row r="40" spans="2:53" x14ac:dyDescent="0.25">
      <c r="B40" s="8">
        <f>1778.51+0.08</f>
        <v>1778.59</v>
      </c>
      <c r="C40" s="37">
        <v>167.10000000000002</v>
      </c>
      <c r="F40" s="9">
        <f t="shared" si="6"/>
        <v>3.3420000000000005</v>
      </c>
      <c r="J40" s="8">
        <f>1778.51+0.08</f>
        <v>1778.59</v>
      </c>
      <c r="K40" s="8">
        <v>433.7</v>
      </c>
      <c r="N40" s="5">
        <f t="shared" si="1"/>
        <v>8.6739999999999995</v>
      </c>
      <c r="R40" s="8">
        <f>1778.51+0.08</f>
        <v>1778.59</v>
      </c>
      <c r="S40" s="37">
        <v>114</v>
      </c>
      <c r="V40" s="9">
        <f t="shared" si="2"/>
        <v>2.2799999999999998</v>
      </c>
      <c r="Z40" s="8">
        <f>1778.51+0.08</f>
        <v>1778.59</v>
      </c>
      <c r="AA40" s="37">
        <v>418</v>
      </c>
      <c r="AD40" s="5">
        <f t="shared" si="3"/>
        <v>8.36</v>
      </c>
      <c r="AH40" s="37">
        <f>1778.51+0.08</f>
        <v>1778.59</v>
      </c>
      <c r="AI40" s="37">
        <v>155.5</v>
      </c>
      <c r="AL40" s="9">
        <f t="shared" si="4"/>
        <v>3.11</v>
      </c>
      <c r="AP40" s="37">
        <f>1778.51+0.08</f>
        <v>1778.59</v>
      </c>
      <c r="AQ40" s="8">
        <v>396</v>
      </c>
      <c r="AT40" s="9">
        <f t="shared" si="5"/>
        <v>7.92</v>
      </c>
    </row>
    <row r="41" spans="2:53" x14ac:dyDescent="0.25">
      <c r="B41" s="8">
        <f>1778.51+0.09</f>
        <v>1778.6</v>
      </c>
      <c r="C41" s="37">
        <v>163.10000000000002</v>
      </c>
      <c r="F41" s="9">
        <f t="shared" si="6"/>
        <v>3.2620000000000005</v>
      </c>
      <c r="J41" s="8">
        <f>1778.51+0.09</f>
        <v>1778.6</v>
      </c>
      <c r="K41" s="8">
        <v>442.4</v>
      </c>
      <c r="N41" s="5">
        <f t="shared" si="1"/>
        <v>8.847999999999999</v>
      </c>
      <c r="R41" s="8">
        <f>1778.51+0.08</f>
        <v>1778.59</v>
      </c>
      <c r="S41" s="37">
        <v>96.03</v>
      </c>
      <c r="V41" s="9">
        <f t="shared" si="2"/>
        <v>1.9206000000000001</v>
      </c>
      <c r="Z41" s="8">
        <f>1778.51+0.08</f>
        <v>1778.59</v>
      </c>
      <c r="AA41" s="37">
        <v>392.1</v>
      </c>
      <c r="AD41" s="5">
        <f t="shared" si="3"/>
        <v>7.8420000000000005</v>
      </c>
      <c r="AH41" s="37">
        <f>1778.51+0.08</f>
        <v>1778.59</v>
      </c>
      <c r="AI41" s="37">
        <v>159.4</v>
      </c>
      <c r="AL41" s="9">
        <f t="shared" si="4"/>
        <v>3.1880000000000002</v>
      </c>
      <c r="AP41" s="37">
        <f>1778.51+0.08</f>
        <v>1778.59</v>
      </c>
      <c r="AQ41" s="8">
        <v>416.1</v>
      </c>
      <c r="AT41" s="9">
        <f t="shared" si="5"/>
        <v>8.322000000000001</v>
      </c>
    </row>
    <row r="42" spans="2:53" x14ac:dyDescent="0.25">
      <c r="B42" s="8">
        <f>1778.51+0.09</f>
        <v>1778.6</v>
      </c>
      <c r="C42" s="37">
        <v>160.30000000000001</v>
      </c>
      <c r="F42" s="9">
        <f t="shared" si="6"/>
        <v>3.2060000000000004</v>
      </c>
      <c r="J42" s="8">
        <f>1778.51+0.09</f>
        <v>1778.6</v>
      </c>
      <c r="K42" s="8">
        <v>441.5</v>
      </c>
      <c r="N42" s="5">
        <f t="shared" si="1"/>
        <v>8.83</v>
      </c>
      <c r="R42" s="8">
        <f>1778.51+0.09</f>
        <v>1778.6</v>
      </c>
      <c r="S42" s="37">
        <v>72.66</v>
      </c>
      <c r="V42" s="9">
        <f t="shared" si="2"/>
        <v>1.4531999999999998</v>
      </c>
      <c r="Z42" s="8">
        <f>1778.51+0.09</f>
        <v>1778.6</v>
      </c>
      <c r="AA42" s="37">
        <v>357.8</v>
      </c>
      <c r="AD42" s="5">
        <f t="shared" si="3"/>
        <v>7.1560000000000006</v>
      </c>
      <c r="AH42" s="37">
        <f>1778.51+0.09</f>
        <v>1778.6</v>
      </c>
      <c r="AI42" s="37">
        <v>159.4</v>
      </c>
      <c r="AL42" s="9">
        <f t="shared" si="4"/>
        <v>3.1880000000000002</v>
      </c>
      <c r="AP42" s="37">
        <f>1778.51+0.09</f>
        <v>1778.6</v>
      </c>
      <c r="AQ42" s="8">
        <v>404.7</v>
      </c>
      <c r="AT42" s="9">
        <f t="shared" si="5"/>
        <v>8.0939999999999994</v>
      </c>
    </row>
    <row r="43" spans="2:53" x14ac:dyDescent="0.25">
      <c r="B43" s="8">
        <f>1778.51+0.09</f>
        <v>1778.6</v>
      </c>
      <c r="C43" s="37">
        <v>151</v>
      </c>
      <c r="F43" s="9">
        <f t="shared" si="6"/>
        <v>3.02</v>
      </c>
      <c r="J43" s="8">
        <f>1778.51+0.09</f>
        <v>1778.6</v>
      </c>
      <c r="K43" s="8">
        <v>438.9</v>
      </c>
      <c r="N43" s="5">
        <f t="shared" si="1"/>
        <v>8.7779999999999987</v>
      </c>
      <c r="R43" s="8">
        <f>1778.51+0.09</f>
        <v>1778.6</v>
      </c>
      <c r="S43" s="37">
        <v>52.82</v>
      </c>
      <c r="V43" s="9">
        <f t="shared" si="2"/>
        <v>1.0564</v>
      </c>
      <c r="Z43" s="8">
        <f>1778.51+0.09</f>
        <v>1778.6</v>
      </c>
      <c r="AA43" s="37">
        <v>330.5</v>
      </c>
      <c r="AD43" s="5">
        <f t="shared" si="3"/>
        <v>6.61</v>
      </c>
      <c r="AH43" s="37">
        <f>1778.51+0.09</f>
        <v>1778.6</v>
      </c>
      <c r="AI43" s="37">
        <v>160.80000000000001</v>
      </c>
      <c r="AL43" s="9">
        <f t="shared" si="4"/>
        <v>3.2160000000000002</v>
      </c>
      <c r="AP43" s="37">
        <f>1778.51+0.09</f>
        <v>1778.6</v>
      </c>
      <c r="AQ43" s="8">
        <v>393</v>
      </c>
      <c r="AT43" s="9">
        <f t="shared" si="5"/>
        <v>7.86</v>
      </c>
    </row>
    <row r="44" spans="2:53" x14ac:dyDescent="0.25">
      <c r="B44" s="8">
        <f>1778.51+0.09</f>
        <v>1778.6</v>
      </c>
      <c r="C44" s="37">
        <v>146.39999999999998</v>
      </c>
      <c r="F44" s="9">
        <f t="shared" si="6"/>
        <v>2.9279999999999995</v>
      </c>
      <c r="J44" s="8">
        <f>1778.51+0.09</f>
        <v>1778.6</v>
      </c>
      <c r="K44" s="8">
        <v>415.1</v>
      </c>
      <c r="N44" s="5">
        <f t="shared" si="1"/>
        <v>8.3019999999999996</v>
      </c>
      <c r="R44" s="8">
        <f>1778.51+0.09</f>
        <v>1778.6</v>
      </c>
      <c r="S44" s="37">
        <v>43.18</v>
      </c>
      <c r="V44" s="9">
        <f t="shared" si="2"/>
        <v>0.86360000000000003</v>
      </c>
      <c r="Z44" s="8">
        <f>1778.51+0.09</f>
        <v>1778.6</v>
      </c>
      <c r="AA44" s="37">
        <v>318.39999999999998</v>
      </c>
      <c r="AD44" s="5">
        <f t="shared" si="3"/>
        <v>6.3679999999999994</v>
      </c>
      <c r="AH44" s="37">
        <f>1778.51+0.09</f>
        <v>1778.6</v>
      </c>
      <c r="AI44" s="37">
        <v>159.9</v>
      </c>
      <c r="AL44" s="9">
        <f t="shared" si="4"/>
        <v>3.198</v>
      </c>
      <c r="AP44" s="37">
        <f>1778.51+0.09</f>
        <v>1778.6</v>
      </c>
      <c r="AQ44" s="8">
        <v>385.1</v>
      </c>
      <c r="AT44" s="9">
        <f t="shared" si="5"/>
        <v>7.7020000000000008</v>
      </c>
    </row>
    <row r="45" spans="2:53" x14ac:dyDescent="0.25">
      <c r="B45" s="8">
        <f>1778.51+0.09</f>
        <v>1778.6</v>
      </c>
      <c r="C45" s="37">
        <v>143.5</v>
      </c>
      <c r="F45" s="9">
        <f t="shared" si="6"/>
        <v>2.87</v>
      </c>
      <c r="J45" s="8">
        <f>1778.51+0.09</f>
        <v>1778.6</v>
      </c>
      <c r="K45" s="8">
        <v>419.8</v>
      </c>
      <c r="N45" s="5">
        <f t="shared" si="1"/>
        <v>8.3960000000000008</v>
      </c>
      <c r="R45" s="8">
        <f>1778.51+0.09</f>
        <v>1778.6</v>
      </c>
      <c r="S45" s="37">
        <v>41.38</v>
      </c>
      <c r="V45" s="9">
        <f t="shared" si="2"/>
        <v>0.8276</v>
      </c>
      <c r="Z45" s="8">
        <f>1778.51+0.09</f>
        <v>1778.6</v>
      </c>
      <c r="AA45" s="37">
        <v>307.2</v>
      </c>
      <c r="AD45" s="5">
        <f t="shared" si="3"/>
        <v>6.1440000000000001</v>
      </c>
      <c r="AH45" s="37">
        <f>1778.51+0.09</f>
        <v>1778.6</v>
      </c>
      <c r="AI45" s="37">
        <v>159.19999999999999</v>
      </c>
      <c r="AL45" s="9">
        <f t="shared" si="4"/>
        <v>3.1839999999999997</v>
      </c>
      <c r="AP45" s="37">
        <f>1778.51+0.09</f>
        <v>1778.6</v>
      </c>
      <c r="AQ45" s="8">
        <v>371.1</v>
      </c>
      <c r="AT45" s="9">
        <f t="shared" si="5"/>
        <v>7.4220000000000006</v>
      </c>
    </row>
    <row r="46" spans="2:53" x14ac:dyDescent="0.25">
      <c r="B46" s="8">
        <f>1778.51+0.1</f>
        <v>1778.61</v>
      </c>
      <c r="C46" s="37">
        <v>130.80000000000001</v>
      </c>
      <c r="F46" s="9">
        <f t="shared" si="6"/>
        <v>2.6160000000000001</v>
      </c>
      <c r="J46" s="8">
        <f>1778.51+0.1</f>
        <v>1778.61</v>
      </c>
      <c r="K46" s="8">
        <v>419.8</v>
      </c>
      <c r="N46" s="5">
        <f t="shared" si="1"/>
        <v>8.3960000000000008</v>
      </c>
      <c r="R46" s="8">
        <f>1778.51+0.09</f>
        <v>1778.6</v>
      </c>
      <c r="S46" s="37">
        <v>44.4</v>
      </c>
      <c r="V46" s="9">
        <f t="shared" si="2"/>
        <v>0.88800000000000001</v>
      </c>
      <c r="Z46" s="8">
        <f>1778.51+0.09</f>
        <v>1778.6</v>
      </c>
      <c r="AA46" s="37">
        <v>307.39999999999998</v>
      </c>
      <c r="AD46" s="5">
        <f t="shared" si="3"/>
        <v>6.1479999999999997</v>
      </c>
      <c r="AH46" s="37">
        <f>1778.51+0.09</f>
        <v>1778.6</v>
      </c>
      <c r="AI46" s="37">
        <v>153.4</v>
      </c>
      <c r="AL46" s="9">
        <f t="shared" si="4"/>
        <v>3.0680000000000001</v>
      </c>
      <c r="AP46" s="37">
        <f>1778.51+0.09</f>
        <v>1778.6</v>
      </c>
      <c r="AQ46" s="8">
        <v>353.7</v>
      </c>
      <c r="AT46" s="9">
        <f t="shared" si="5"/>
        <v>7.0739999999999998</v>
      </c>
    </row>
    <row r="47" spans="2:53" x14ac:dyDescent="0.25">
      <c r="B47" s="8">
        <f>1778.51+0.1</f>
        <v>1778.61</v>
      </c>
      <c r="C47" s="37">
        <v>132.10000000000002</v>
      </c>
      <c r="F47" s="9">
        <f t="shared" si="6"/>
        <v>2.6420000000000003</v>
      </c>
      <c r="J47" s="8">
        <f>1778.51+0.1</f>
        <v>1778.61</v>
      </c>
      <c r="K47" s="8">
        <v>426.1</v>
      </c>
      <c r="N47" s="5">
        <f t="shared" si="1"/>
        <v>8.5220000000000002</v>
      </c>
      <c r="R47" s="8">
        <f>1778.51+0.1</f>
        <v>1778.61</v>
      </c>
      <c r="S47" s="37">
        <v>52.98</v>
      </c>
      <c r="V47" s="9">
        <f t="shared" si="2"/>
        <v>1.0595999999999999</v>
      </c>
      <c r="Z47" s="8">
        <f>1778.51+0.1</f>
        <v>1778.61</v>
      </c>
      <c r="AA47" s="37">
        <v>320.89999999999998</v>
      </c>
      <c r="AD47" s="5">
        <f t="shared" si="3"/>
        <v>6.4179999999999993</v>
      </c>
      <c r="AH47" s="37">
        <f>1778.51+0.1</f>
        <v>1778.61</v>
      </c>
      <c r="AI47" s="37">
        <v>150.30000000000001</v>
      </c>
      <c r="AL47" s="9">
        <f t="shared" si="4"/>
        <v>3.0060000000000002</v>
      </c>
      <c r="AP47" s="37">
        <f>1778.51+0.1</f>
        <v>1778.61</v>
      </c>
      <c r="AQ47" s="8">
        <v>358.1</v>
      </c>
      <c r="AT47" s="9">
        <f t="shared" si="5"/>
        <v>7.1620000000000008</v>
      </c>
    </row>
    <row r="48" spans="2:53" x14ac:dyDescent="0.25">
      <c r="B48" s="8">
        <f>1778.51+0.1</f>
        <v>1778.61</v>
      </c>
      <c r="C48" s="37">
        <v>139.80000000000001</v>
      </c>
      <c r="F48" s="9">
        <f t="shared" si="6"/>
        <v>2.7960000000000003</v>
      </c>
      <c r="J48" s="8">
        <f>1778.51+0.1</f>
        <v>1778.61</v>
      </c>
      <c r="K48" s="8">
        <v>427.9</v>
      </c>
      <c r="N48" s="5">
        <f t="shared" si="1"/>
        <v>8.5579999999999998</v>
      </c>
      <c r="R48" s="8">
        <f>1778.51+0.1</f>
        <v>1778.61</v>
      </c>
      <c r="S48" s="37">
        <v>56.9</v>
      </c>
      <c r="V48" s="9">
        <f t="shared" si="2"/>
        <v>1.1379999999999999</v>
      </c>
      <c r="Z48" s="8">
        <f>1778.51+0.1</f>
        <v>1778.61</v>
      </c>
      <c r="AA48" s="37">
        <v>324.5</v>
      </c>
      <c r="AD48" s="5">
        <f t="shared" si="3"/>
        <v>6.49</v>
      </c>
      <c r="AH48" s="37">
        <f>1778.51+0.1</f>
        <v>1778.61</v>
      </c>
      <c r="AI48" s="37">
        <v>145.30000000000001</v>
      </c>
      <c r="AL48" s="9">
        <f t="shared" si="4"/>
        <v>2.9060000000000001</v>
      </c>
      <c r="AP48" s="37">
        <f>1778.51+0.1</f>
        <v>1778.61</v>
      </c>
      <c r="AQ48" s="8">
        <v>359.9</v>
      </c>
      <c r="AT48" s="9">
        <f t="shared" si="5"/>
        <v>7.1979999999999995</v>
      </c>
    </row>
    <row r="49" spans="2:70" x14ac:dyDescent="0.25">
      <c r="B49" s="8">
        <f>1778.51+0.1</f>
        <v>1778.61</v>
      </c>
      <c r="C49" s="37">
        <v>138.5</v>
      </c>
      <c r="F49" s="9">
        <f t="shared" si="6"/>
        <v>2.77</v>
      </c>
      <c r="J49" s="8">
        <f>1778.51+0.1</f>
        <v>1778.61</v>
      </c>
      <c r="K49" s="8">
        <v>451.2</v>
      </c>
      <c r="N49" s="5">
        <f t="shared" si="1"/>
        <v>9.0239999999999991</v>
      </c>
      <c r="R49" s="8">
        <f>1778.51+0.1</f>
        <v>1778.61</v>
      </c>
      <c r="S49" s="37">
        <v>49.69</v>
      </c>
      <c r="V49" s="9">
        <f t="shared" si="2"/>
        <v>0.99379999999999991</v>
      </c>
      <c r="Z49" s="8">
        <f>1778.51+0.1</f>
        <v>1778.61</v>
      </c>
      <c r="AA49" s="37">
        <v>311</v>
      </c>
      <c r="AD49" s="5">
        <f t="shared" si="3"/>
        <v>6.22</v>
      </c>
      <c r="AH49" s="37">
        <f>1778.51+0.11</f>
        <v>1778.62</v>
      </c>
      <c r="AI49" s="37">
        <v>140</v>
      </c>
      <c r="AL49" s="9">
        <f t="shared" si="4"/>
        <v>2.8</v>
      </c>
      <c r="AP49" s="37">
        <f>1778.51+0.11</f>
        <v>1778.62</v>
      </c>
      <c r="AQ49" s="8">
        <v>373.5</v>
      </c>
      <c r="AT49" s="9">
        <f t="shared" si="5"/>
        <v>7.47</v>
      </c>
    </row>
    <row r="50" spans="2:70" x14ac:dyDescent="0.25">
      <c r="B50" s="8">
        <f>1778.51+0.1</f>
        <v>1778.61</v>
      </c>
      <c r="C50" s="37">
        <v>136.89999999999998</v>
      </c>
      <c r="F50" s="9">
        <f t="shared" si="6"/>
        <v>2.7379999999999995</v>
      </c>
      <c r="J50" s="8">
        <f>1778.51+0.1</f>
        <v>1778.61</v>
      </c>
      <c r="K50" s="8">
        <v>446.3</v>
      </c>
      <c r="N50" s="5">
        <f t="shared" si="1"/>
        <v>8.9260000000000002</v>
      </c>
      <c r="R50" s="8">
        <f>1778.51+0.1</f>
        <v>1778.61</v>
      </c>
      <c r="S50" s="37">
        <v>50.54</v>
      </c>
      <c r="V50" s="9">
        <f t="shared" si="2"/>
        <v>1.0107999999999999</v>
      </c>
      <c r="Z50" s="8">
        <f>1778.51+0.1</f>
        <v>1778.61</v>
      </c>
      <c r="AA50" s="37">
        <v>315.60000000000002</v>
      </c>
      <c r="AD50" s="5">
        <f t="shared" si="3"/>
        <v>6.3120000000000003</v>
      </c>
      <c r="AH50" s="37">
        <f>1778.51+0.11</f>
        <v>1778.62</v>
      </c>
      <c r="AI50" s="37">
        <v>138.19999999999999</v>
      </c>
      <c r="AL50" s="9">
        <f t="shared" si="4"/>
        <v>2.7639999999999998</v>
      </c>
      <c r="AP50" s="37">
        <f>1778.51+0.11</f>
        <v>1778.62</v>
      </c>
      <c r="AQ50" s="8">
        <v>380.5</v>
      </c>
      <c r="AT50" s="9">
        <f t="shared" si="5"/>
        <v>7.61</v>
      </c>
    </row>
    <row r="51" spans="2:70" x14ac:dyDescent="0.25">
      <c r="B51" s="8">
        <f>1778.51+0.11</f>
        <v>1778.62</v>
      </c>
      <c r="C51" s="37">
        <v>152.60000000000002</v>
      </c>
      <c r="F51" s="9">
        <f t="shared" si="6"/>
        <v>3.0520000000000005</v>
      </c>
      <c r="J51" s="8">
        <f>1778.51+0.11</f>
        <v>1778.62</v>
      </c>
      <c r="K51" s="8">
        <v>440.4</v>
      </c>
      <c r="N51" s="5">
        <f t="shared" si="1"/>
        <v>8.8079999999999998</v>
      </c>
      <c r="R51" s="8">
        <f>1778.51+0.1</f>
        <v>1778.61</v>
      </c>
      <c r="S51" s="37">
        <v>59.49</v>
      </c>
      <c r="V51" s="9">
        <f t="shared" si="2"/>
        <v>1.1898</v>
      </c>
      <c r="Z51" s="8">
        <f>1778.51+0.1</f>
        <v>1778.61</v>
      </c>
      <c r="AA51" s="37">
        <v>330.3</v>
      </c>
      <c r="AD51" s="5">
        <f t="shared" si="3"/>
        <v>6.6059999999999999</v>
      </c>
      <c r="AH51" s="37"/>
      <c r="AI51" s="37"/>
      <c r="AL51" s="9"/>
      <c r="AP51" s="8"/>
      <c r="AQ51" s="8"/>
      <c r="AT51" s="9"/>
    </row>
    <row r="52" spans="2:70" x14ac:dyDescent="0.25">
      <c r="B52" s="8">
        <f>1778.51+0.11</f>
        <v>1778.62</v>
      </c>
      <c r="C52" s="37">
        <v>156.10000000000002</v>
      </c>
      <c r="F52" s="9">
        <f t="shared" si="6"/>
        <v>3.1220000000000003</v>
      </c>
      <c r="J52" s="8">
        <f>1778.51+0.11</f>
        <v>1778.62</v>
      </c>
      <c r="K52" s="8">
        <v>442.9</v>
      </c>
      <c r="N52" s="5">
        <f t="shared" si="1"/>
        <v>8.8579999999999988</v>
      </c>
      <c r="R52" s="8">
        <f>1778.51+0.11</f>
        <v>1778.62</v>
      </c>
      <c r="S52" s="37">
        <v>71.84</v>
      </c>
      <c r="V52" s="9">
        <f t="shared" si="2"/>
        <v>1.4368000000000001</v>
      </c>
      <c r="Z52" s="8">
        <f>1778.51+0.11</f>
        <v>1778.62</v>
      </c>
      <c r="AA52" s="37">
        <v>348.3</v>
      </c>
      <c r="AD52" s="5">
        <f t="shared" si="3"/>
        <v>6.9660000000000002</v>
      </c>
      <c r="AH52" s="37"/>
      <c r="AI52" s="37"/>
      <c r="AL52" s="9"/>
      <c r="AP52" s="8"/>
      <c r="AQ52" s="8"/>
      <c r="AT52" s="9"/>
    </row>
    <row r="53" spans="2:70" x14ac:dyDescent="0.25">
      <c r="B53" s="8">
        <f>1778.51+0.11</f>
        <v>1778.62</v>
      </c>
      <c r="C53" s="37">
        <v>156.30000000000001</v>
      </c>
      <c r="F53" s="9">
        <f t="shared" si="6"/>
        <v>3.1260000000000003</v>
      </c>
      <c r="J53" s="8">
        <f>1778.51+0.11</f>
        <v>1778.62</v>
      </c>
      <c r="K53" s="8">
        <v>443.6</v>
      </c>
      <c r="N53" s="5">
        <f t="shared" si="1"/>
        <v>8.8719999999999999</v>
      </c>
      <c r="R53" s="8">
        <f>1778.51+0.11</f>
        <v>1778.62</v>
      </c>
      <c r="S53" s="37">
        <v>84.97</v>
      </c>
      <c r="V53" s="9">
        <f t="shared" si="2"/>
        <v>1.6994</v>
      </c>
      <c r="Z53" s="8">
        <f>1778.51+0.11</f>
        <v>1778.62</v>
      </c>
      <c r="AA53" s="37">
        <v>369.8</v>
      </c>
      <c r="AD53" s="5">
        <f t="shared" si="3"/>
        <v>7.3959999999999999</v>
      </c>
      <c r="AH53" s="37"/>
      <c r="AI53" s="37"/>
      <c r="AL53" s="9"/>
      <c r="AP53" s="8"/>
      <c r="AQ53" s="8"/>
      <c r="AT53" s="9"/>
    </row>
    <row r="54" spans="2:70" x14ac:dyDescent="0.25">
      <c r="B54" s="8">
        <f>1778.51+0.11</f>
        <v>1778.62</v>
      </c>
      <c r="C54" s="37">
        <v>157.60000000000002</v>
      </c>
      <c r="F54" s="9">
        <f t="shared" si="6"/>
        <v>3.1520000000000006</v>
      </c>
      <c r="J54" s="8">
        <f>1778.51+0.11</f>
        <v>1778.62</v>
      </c>
      <c r="K54" s="8">
        <v>448.1</v>
      </c>
      <c r="N54" s="5">
        <f t="shared" si="1"/>
        <v>8.9619999999999997</v>
      </c>
      <c r="R54" s="8">
        <f>1778.51+0.11</f>
        <v>1778.62</v>
      </c>
      <c r="S54" s="37">
        <v>103.9</v>
      </c>
      <c r="V54" s="9">
        <f t="shared" si="2"/>
        <v>2.0780000000000003</v>
      </c>
      <c r="Z54" s="8">
        <f>1778.51+0.11</f>
        <v>1778.62</v>
      </c>
      <c r="AA54" s="37">
        <v>402.9</v>
      </c>
      <c r="AD54" s="5">
        <f t="shared" si="3"/>
        <v>8.0579999999999998</v>
      </c>
      <c r="AH54" s="37"/>
      <c r="AI54" s="37"/>
      <c r="AL54" s="9"/>
      <c r="AP54" s="8"/>
      <c r="AQ54" s="8"/>
      <c r="AT54" s="9"/>
    </row>
    <row r="55" spans="2:70" x14ac:dyDescent="0.25">
      <c r="B55" s="8">
        <f>1778.51+0.11</f>
        <v>1778.62</v>
      </c>
      <c r="C55" s="37">
        <v>148.10000000000002</v>
      </c>
      <c r="F55" s="9">
        <f t="shared" si="6"/>
        <v>2.9620000000000006</v>
      </c>
      <c r="J55" s="8">
        <f>1778.51+0.11</f>
        <v>1778.62</v>
      </c>
      <c r="K55" s="8">
        <v>450.9</v>
      </c>
      <c r="N55" s="5">
        <f t="shared" si="1"/>
        <v>9.0179999999999989</v>
      </c>
      <c r="R55" s="8">
        <f>1778.51+0.11</f>
        <v>1778.62</v>
      </c>
      <c r="S55" s="37">
        <v>123.9</v>
      </c>
      <c r="V55" s="9">
        <f t="shared" si="2"/>
        <v>2.4780000000000002</v>
      </c>
      <c r="Z55" s="8">
        <f>1778.51+0.11</f>
        <v>1778.62</v>
      </c>
      <c r="AA55" s="37">
        <v>422.7</v>
      </c>
      <c r="AD55" s="5">
        <f t="shared" si="3"/>
        <v>8.4540000000000006</v>
      </c>
      <c r="AH55" s="37"/>
      <c r="AI55" s="37"/>
      <c r="AL55" s="9"/>
      <c r="AT55" s="5"/>
    </row>
    <row r="56" spans="2:70" x14ac:dyDescent="0.25">
      <c r="B56" s="8">
        <f>1778.51+0.12</f>
        <v>1778.6299999999999</v>
      </c>
      <c r="C56" s="37">
        <v>143.39999999999998</v>
      </c>
      <c r="F56" s="9">
        <f t="shared" si="6"/>
        <v>2.8679999999999994</v>
      </c>
      <c r="J56" s="8">
        <f>1778.51+0.12</f>
        <v>1778.6299999999999</v>
      </c>
      <c r="K56" s="8">
        <v>457</v>
      </c>
      <c r="N56" s="5">
        <f t="shared" si="1"/>
        <v>9.14</v>
      </c>
      <c r="R56" s="8">
        <f>1778.51+0.11</f>
        <v>1778.62</v>
      </c>
      <c r="S56" s="37">
        <v>140.30000000000001</v>
      </c>
      <c r="V56" s="9">
        <f t="shared" si="2"/>
        <v>2.806</v>
      </c>
      <c r="Z56" s="8">
        <f>1778.51+0.11</f>
        <v>1778.62</v>
      </c>
      <c r="AA56" s="37">
        <v>451.9</v>
      </c>
      <c r="AD56" s="5">
        <f t="shared" si="3"/>
        <v>9.0380000000000003</v>
      </c>
      <c r="AL56" s="5"/>
      <c r="AT56" s="5"/>
    </row>
    <row r="57" spans="2:70" x14ac:dyDescent="0.25">
      <c r="B57" s="8">
        <f>1778.51+0.12</f>
        <v>1778.6299999999999</v>
      </c>
      <c r="C57" s="37">
        <v>142</v>
      </c>
      <c r="F57" s="9">
        <f t="shared" si="6"/>
        <v>2.84</v>
      </c>
      <c r="J57" s="8">
        <f>1778.51+0.12</f>
        <v>1778.6299999999999</v>
      </c>
      <c r="K57" s="8">
        <v>459.4</v>
      </c>
      <c r="N57" s="5">
        <f t="shared" si="1"/>
        <v>9.1879999999999988</v>
      </c>
      <c r="R57" s="8">
        <f>1778.51+0.12</f>
        <v>1778.6299999999999</v>
      </c>
      <c r="S57" s="37">
        <v>154.80000000000001</v>
      </c>
      <c r="V57" s="9">
        <f t="shared" si="2"/>
        <v>3.0960000000000001</v>
      </c>
      <c r="Z57" s="8">
        <f>1778.51+0.12</f>
        <v>1778.6299999999999</v>
      </c>
      <c r="AA57" s="37">
        <v>463.1</v>
      </c>
      <c r="AD57" s="5">
        <f t="shared" si="3"/>
        <v>9.2620000000000005</v>
      </c>
      <c r="AL57" s="5"/>
      <c r="AT57" s="5"/>
    </row>
    <row r="58" spans="2:70" x14ac:dyDescent="0.25">
      <c r="B58" s="8">
        <f>1778.51+0.12</f>
        <v>1778.6299999999999</v>
      </c>
      <c r="C58" s="37">
        <v>141.80000000000001</v>
      </c>
      <c r="F58" s="9">
        <f t="shared" si="6"/>
        <v>2.8360000000000003</v>
      </c>
      <c r="J58" s="8">
        <f>1778.51+0.12</f>
        <v>1778.6299999999999</v>
      </c>
      <c r="K58" s="8">
        <v>459.75</v>
      </c>
      <c r="N58" s="5">
        <f t="shared" si="1"/>
        <v>9.1950000000000003</v>
      </c>
      <c r="R58" s="8">
        <f>1778.51+0.12</f>
        <v>1778.6299999999999</v>
      </c>
      <c r="S58" s="37">
        <v>163.1</v>
      </c>
      <c r="V58" s="9">
        <f t="shared" si="2"/>
        <v>3.262</v>
      </c>
      <c r="Z58" s="8">
        <f>1778.51+0.12</f>
        <v>1778.6299999999999</v>
      </c>
      <c r="AA58" s="37">
        <v>461.1</v>
      </c>
      <c r="AD58" s="5">
        <f t="shared" si="3"/>
        <v>9.2220000000000013</v>
      </c>
      <c r="AL58" s="5"/>
      <c r="AT58" s="5"/>
    </row>
    <row r="59" spans="2:70" x14ac:dyDescent="0.25">
      <c r="B59" s="8">
        <f>1778.51+0.12</f>
        <v>1778.6299999999999</v>
      </c>
      <c r="C59" s="37">
        <v>136.10000000000002</v>
      </c>
      <c r="F59" s="9">
        <f t="shared" si="6"/>
        <v>2.7220000000000004</v>
      </c>
      <c r="J59" s="8">
        <f>1778.51+0.12</f>
        <v>1778.6299999999999</v>
      </c>
      <c r="K59" s="8">
        <v>456.2</v>
      </c>
      <c r="N59" s="5">
        <f t="shared" si="1"/>
        <v>9.1240000000000006</v>
      </c>
      <c r="R59" s="8">
        <f>1778.51+0.12</f>
        <v>1778.6299999999999</v>
      </c>
      <c r="S59" s="37">
        <v>161</v>
      </c>
      <c r="V59" s="9">
        <f t="shared" si="2"/>
        <v>3.22</v>
      </c>
      <c r="Z59" s="8">
        <f>1778.51+0.12</f>
        <v>1778.6299999999999</v>
      </c>
      <c r="AA59" s="37">
        <v>457.3</v>
      </c>
      <c r="AD59" s="5">
        <f t="shared" si="3"/>
        <v>9.1460000000000008</v>
      </c>
      <c r="AL59" s="5"/>
      <c r="AT59" s="5"/>
      <c r="BR59" s="6" t="s">
        <v>67</v>
      </c>
    </row>
    <row r="60" spans="2:70" x14ac:dyDescent="0.25">
      <c r="B60" s="8">
        <f>1778.51+0.12</f>
        <v>1778.6299999999999</v>
      </c>
      <c r="C60" s="37">
        <v>135.5</v>
      </c>
      <c r="F60" s="9">
        <f t="shared" si="6"/>
        <v>2.71</v>
      </c>
      <c r="J60" s="8">
        <f>1778.51+0.12</f>
        <v>1778.6299999999999</v>
      </c>
      <c r="K60" s="8">
        <v>459.6</v>
      </c>
      <c r="N60" s="5">
        <f t="shared" si="1"/>
        <v>9.1920000000000002</v>
      </c>
      <c r="R60" s="8">
        <f>1778.51+0.12</f>
        <v>1778.6299999999999</v>
      </c>
      <c r="S60" s="37">
        <v>155.9</v>
      </c>
      <c r="V60" s="9">
        <f t="shared" si="2"/>
        <v>3.1180000000000003</v>
      </c>
      <c r="Z60" s="8">
        <f>1778.51+0.12</f>
        <v>1778.6299999999999</v>
      </c>
      <c r="AA60" s="37">
        <v>463.6</v>
      </c>
      <c r="AD60" s="5">
        <f t="shared" si="3"/>
        <v>9.2720000000000002</v>
      </c>
      <c r="AL60" s="5"/>
      <c r="AT60" s="5"/>
    </row>
    <row r="61" spans="2:70" x14ac:dyDescent="0.25">
      <c r="B61" s="8">
        <f>1778.51+0.13</f>
        <v>1778.64</v>
      </c>
      <c r="C61" s="37">
        <v>132.39999999999998</v>
      </c>
      <c r="F61" s="9">
        <f t="shared" si="6"/>
        <v>2.6479999999999997</v>
      </c>
      <c r="J61" s="8">
        <f>1778.51+0.13</f>
        <v>1778.64</v>
      </c>
      <c r="K61" s="8">
        <v>459.7</v>
      </c>
      <c r="N61" s="5">
        <f t="shared" si="1"/>
        <v>9.1939999999999991</v>
      </c>
      <c r="R61" s="8">
        <f>1778.51+0.12</f>
        <v>1778.6299999999999</v>
      </c>
      <c r="S61" s="37">
        <v>151.30000000000001</v>
      </c>
      <c r="V61" s="9">
        <f t="shared" si="2"/>
        <v>3.0260000000000002</v>
      </c>
      <c r="Z61" s="8">
        <f>1778.51+0.12</f>
        <v>1778.6299999999999</v>
      </c>
      <c r="AA61" s="37">
        <v>451.7</v>
      </c>
      <c r="AD61" s="5">
        <f t="shared" si="3"/>
        <v>9.0339999999999989</v>
      </c>
      <c r="AL61" s="5"/>
      <c r="AT61" s="5"/>
    </row>
    <row r="62" spans="2:70" x14ac:dyDescent="0.25">
      <c r="B62" s="8">
        <f>1778.51+0.13</f>
        <v>1778.64</v>
      </c>
      <c r="C62" s="37">
        <v>132</v>
      </c>
      <c r="F62" s="9">
        <f t="shared" si="6"/>
        <v>2.64</v>
      </c>
      <c r="J62" s="8">
        <f>1778.51+0.13</f>
        <v>1778.64</v>
      </c>
      <c r="K62" s="8">
        <v>459.1</v>
      </c>
      <c r="N62" s="5">
        <f t="shared" si="1"/>
        <v>9.1820000000000004</v>
      </c>
      <c r="R62" s="8">
        <f>1778.51+0.13</f>
        <v>1778.64</v>
      </c>
      <c r="S62" s="37">
        <v>140.1</v>
      </c>
      <c r="V62" s="9">
        <f t="shared" si="2"/>
        <v>2.802</v>
      </c>
      <c r="Z62" s="8">
        <f>1778.51+0.13</f>
        <v>1778.64</v>
      </c>
      <c r="AA62" s="37">
        <v>442.8</v>
      </c>
      <c r="AD62" s="5">
        <f t="shared" si="3"/>
        <v>8.8559999999999999</v>
      </c>
      <c r="AL62" s="5"/>
      <c r="AT62" s="5"/>
    </row>
    <row r="63" spans="2:70" x14ac:dyDescent="0.25">
      <c r="B63" s="8">
        <f>1778.51+0.13</f>
        <v>1778.64</v>
      </c>
      <c r="C63" s="37">
        <v>128.30000000000001</v>
      </c>
      <c r="F63" s="9">
        <f t="shared" si="6"/>
        <v>2.5660000000000003</v>
      </c>
      <c r="J63" s="8">
        <f>1778.51+0.13</f>
        <v>1778.64</v>
      </c>
      <c r="K63" s="8">
        <v>452.1</v>
      </c>
      <c r="N63" s="5">
        <f t="shared" si="1"/>
        <v>9.0419999999999998</v>
      </c>
      <c r="R63" s="8">
        <f>1778.51+0.13</f>
        <v>1778.64</v>
      </c>
      <c r="S63" s="37">
        <v>133.9</v>
      </c>
      <c r="V63" s="9">
        <f t="shared" si="2"/>
        <v>2.6779999999999999</v>
      </c>
      <c r="Z63" s="8">
        <f>1778.51+0.13</f>
        <v>1778.64</v>
      </c>
      <c r="AA63" s="37">
        <v>447.7</v>
      </c>
      <c r="AD63" s="5">
        <f t="shared" si="3"/>
        <v>8.9540000000000006</v>
      </c>
      <c r="AL63" s="5"/>
      <c r="AT63" s="5"/>
    </row>
    <row r="64" spans="2:70" x14ac:dyDescent="0.25">
      <c r="B64" s="8">
        <f>1778.51+0.13</f>
        <v>1778.64</v>
      </c>
      <c r="C64" s="37">
        <v>129.80000000000001</v>
      </c>
      <c r="F64" s="9">
        <f t="shared" si="6"/>
        <v>2.5960000000000001</v>
      </c>
      <c r="J64" s="8">
        <f>1778.51+0.13</f>
        <v>1778.64</v>
      </c>
      <c r="K64" s="8">
        <v>425.3</v>
      </c>
      <c r="N64" s="5">
        <f t="shared" si="1"/>
        <v>8.5060000000000002</v>
      </c>
      <c r="V64" s="5"/>
      <c r="Z64" s="8"/>
      <c r="AA64" s="8"/>
      <c r="AD64" s="5"/>
      <c r="AL64" s="5"/>
      <c r="AT64" s="5"/>
    </row>
    <row r="65" spans="2:46" x14ac:dyDescent="0.25">
      <c r="B65" s="8">
        <f>1778.51+0.13</f>
        <v>1778.64</v>
      </c>
      <c r="C65" s="37">
        <v>135</v>
      </c>
      <c r="F65" s="9">
        <f t="shared" si="6"/>
        <v>2.7</v>
      </c>
      <c r="J65" s="8">
        <f>1778.51+0.13</f>
        <v>1778.64</v>
      </c>
      <c r="K65" s="8">
        <v>401.8</v>
      </c>
      <c r="N65" s="5">
        <f t="shared" si="1"/>
        <v>8.0359999999999996</v>
      </c>
      <c r="V65" s="5"/>
      <c r="Z65" s="8"/>
      <c r="AA65" s="8"/>
      <c r="AD65" s="5"/>
      <c r="AL65" s="5"/>
      <c r="AT65" s="5"/>
    </row>
    <row r="66" spans="2:46" x14ac:dyDescent="0.25">
      <c r="B66" s="8"/>
      <c r="C66" s="37"/>
      <c r="F66" s="9"/>
      <c r="J66" s="8"/>
      <c r="K66" s="8"/>
      <c r="N66" s="5"/>
      <c r="V66" s="5"/>
      <c r="Z66" s="8"/>
      <c r="AA66" s="8"/>
      <c r="AD66" s="5"/>
      <c r="AL66" s="5"/>
      <c r="AT66" s="5"/>
    </row>
    <row r="67" spans="2:46" x14ac:dyDescent="0.25">
      <c r="B67" s="8"/>
      <c r="C67" s="37"/>
      <c r="F67" s="9"/>
      <c r="J67" s="8"/>
      <c r="K67" s="8"/>
      <c r="N67" s="5"/>
      <c r="V67" s="5"/>
      <c r="Z67" s="8"/>
      <c r="AA67" s="8"/>
      <c r="AD67" s="5"/>
      <c r="AL67" s="5"/>
      <c r="AT67" s="5"/>
    </row>
    <row r="68" spans="2:46" x14ac:dyDescent="0.25">
      <c r="B68" s="8"/>
      <c r="C68" s="37"/>
      <c r="F68" s="9"/>
      <c r="J68" s="8"/>
      <c r="K68" s="8"/>
      <c r="N68" s="5"/>
      <c r="V68" s="5"/>
      <c r="Z68" s="8"/>
      <c r="AA68" s="8"/>
      <c r="AD68" s="5"/>
      <c r="AL68" s="5"/>
      <c r="AT68" s="5"/>
    </row>
    <row r="69" spans="2:46" x14ac:dyDescent="0.25">
      <c r="B69" s="8"/>
      <c r="C69" s="37"/>
      <c r="F69" s="9"/>
      <c r="J69" s="8"/>
      <c r="K69" s="8"/>
      <c r="N69" s="5"/>
      <c r="V69" s="5"/>
      <c r="Z69" s="8"/>
      <c r="AA69" s="8"/>
      <c r="AD69" s="5"/>
      <c r="AL69" s="5"/>
      <c r="AT69" s="5"/>
    </row>
    <row r="70" spans="2:46" x14ac:dyDescent="0.25">
      <c r="B70" s="8"/>
      <c r="C70" s="37"/>
      <c r="F70" s="9"/>
      <c r="J70" s="8"/>
      <c r="K70" s="8"/>
      <c r="N70" s="5"/>
      <c r="V70" s="5"/>
      <c r="Z70" s="8"/>
      <c r="AA70" s="8"/>
      <c r="AD70" s="5"/>
      <c r="AL70" s="5"/>
      <c r="AT70" s="5"/>
    </row>
    <row r="71" spans="2:46" x14ac:dyDescent="0.25">
      <c r="B71" s="8"/>
      <c r="C71" s="37"/>
      <c r="F71" s="9"/>
      <c r="N71" s="5"/>
      <c r="V71" s="5"/>
      <c r="Z71" s="8"/>
      <c r="AA71" s="8"/>
      <c r="AD71" s="5"/>
      <c r="AL71" s="5"/>
      <c r="AT71" s="5"/>
    </row>
    <row r="72" spans="2:46" x14ac:dyDescent="0.25">
      <c r="B72" s="8"/>
      <c r="C72" s="37"/>
      <c r="F72" s="9"/>
      <c r="N72" s="5"/>
      <c r="V72" s="5"/>
      <c r="Z72" s="8"/>
      <c r="AA72" s="8"/>
      <c r="AD72" s="5"/>
      <c r="AL72" s="5"/>
      <c r="AT72" s="5"/>
    </row>
    <row r="73" spans="2:46" x14ac:dyDescent="0.25">
      <c r="B73" s="8"/>
      <c r="C73" s="37"/>
      <c r="F73" s="9"/>
      <c r="N73" s="5"/>
      <c r="V73" s="5"/>
      <c r="Z73" s="8"/>
      <c r="AA73" s="8"/>
      <c r="AD73" s="5"/>
      <c r="AL73" s="5"/>
      <c r="AT73" s="5"/>
    </row>
    <row r="74" spans="2:46" x14ac:dyDescent="0.25">
      <c r="B74" s="8"/>
      <c r="C74" s="37"/>
      <c r="F74" s="9"/>
      <c r="N74" s="5"/>
      <c r="V74" s="5"/>
      <c r="Z74" s="8"/>
      <c r="AA74" s="8"/>
      <c r="AD74" s="5"/>
      <c r="AL74" s="5"/>
      <c r="AT74" s="5"/>
    </row>
    <row r="75" spans="2:46" x14ac:dyDescent="0.25">
      <c r="B75" s="8"/>
      <c r="C75" s="37"/>
      <c r="F75" s="9"/>
      <c r="N75" s="5"/>
      <c r="V75" s="5"/>
      <c r="Z75" s="8"/>
      <c r="AA75" s="8"/>
      <c r="AD75" s="5"/>
      <c r="AL75" s="5"/>
      <c r="AT75" s="5"/>
    </row>
    <row r="76" spans="2:46" x14ac:dyDescent="0.25">
      <c r="F76" s="5"/>
      <c r="N76" s="5"/>
      <c r="V76" s="5"/>
      <c r="Z76" s="8"/>
      <c r="AA76" s="8"/>
      <c r="AD76" s="5"/>
      <c r="AL76" s="5"/>
      <c r="AT76" s="5"/>
    </row>
    <row r="77" spans="2:46" x14ac:dyDescent="0.25">
      <c r="F77" s="5"/>
      <c r="N77" s="5"/>
      <c r="V77" s="5"/>
      <c r="Z77" s="8"/>
      <c r="AA77" s="8"/>
      <c r="AD77" s="5"/>
      <c r="AL77" s="5"/>
      <c r="AT77" s="5"/>
    </row>
    <row r="78" spans="2:46" x14ac:dyDescent="0.25">
      <c r="F78" s="5"/>
      <c r="N78" s="5"/>
      <c r="V78" s="5"/>
      <c r="Z78" s="8"/>
      <c r="AA78" s="8"/>
      <c r="AD78" s="5"/>
      <c r="AL78" s="5"/>
      <c r="AT78" s="5"/>
    </row>
    <row r="79" spans="2:46" x14ac:dyDescent="0.25">
      <c r="F79" s="5"/>
      <c r="N79" s="5"/>
      <c r="V79" s="5"/>
      <c r="Z79" s="8"/>
      <c r="AA79" s="8"/>
      <c r="AD79" s="5"/>
      <c r="AL79" s="5"/>
      <c r="AT79" s="5"/>
    </row>
    <row r="80" spans="2:46" x14ac:dyDescent="0.25">
      <c r="F80" s="5"/>
      <c r="N80" s="5"/>
      <c r="V80" s="5"/>
      <c r="Z80" s="8"/>
      <c r="AA80" s="8"/>
      <c r="AD80" s="5"/>
      <c r="AL80" s="5"/>
      <c r="AT80" s="5"/>
    </row>
    <row r="81" spans="6:46" x14ac:dyDescent="0.25">
      <c r="F81" s="5"/>
      <c r="N81" s="5"/>
      <c r="V81" s="5"/>
      <c r="Z81" s="8"/>
      <c r="AA81" s="8"/>
      <c r="AD81" s="5"/>
      <c r="AL81" s="5"/>
      <c r="AT81" s="5"/>
    </row>
    <row r="82" spans="6:46" x14ac:dyDescent="0.25">
      <c r="F82" s="5"/>
      <c r="N82" s="5"/>
      <c r="V82" s="5"/>
      <c r="Z82" s="8"/>
      <c r="AA82" s="8"/>
      <c r="AD82" s="5"/>
      <c r="AL82" s="5"/>
      <c r="AT82" s="5"/>
    </row>
    <row r="83" spans="6:46" x14ac:dyDescent="0.25">
      <c r="F83" s="5"/>
      <c r="N83" s="5"/>
      <c r="V83" s="5"/>
      <c r="Z83" s="8"/>
      <c r="AA83" s="8"/>
      <c r="AD83" s="5"/>
      <c r="AL83" s="5"/>
      <c r="AT83" s="5"/>
    </row>
    <row r="84" spans="6:46" x14ac:dyDescent="0.25">
      <c r="F84" s="5"/>
      <c r="N84" s="5"/>
      <c r="V84" s="5"/>
      <c r="Z84" s="8"/>
      <c r="AA84" s="8"/>
      <c r="AD84" s="5"/>
      <c r="AL84" s="5"/>
      <c r="AT84" s="5"/>
    </row>
    <row r="85" spans="6:46" x14ac:dyDescent="0.25">
      <c r="F85" s="5"/>
      <c r="N85" s="5"/>
      <c r="V85" s="5"/>
      <c r="Z85" s="8"/>
      <c r="AA85" s="8"/>
      <c r="AD85" s="5"/>
      <c r="AL85" s="5"/>
      <c r="AT85" s="5"/>
    </row>
    <row r="86" spans="6:46" x14ac:dyDescent="0.25">
      <c r="F86" s="5"/>
      <c r="N86" s="5"/>
      <c r="V86" s="5"/>
      <c r="Z86" s="8"/>
      <c r="AA86" s="8"/>
      <c r="AD86" s="5"/>
      <c r="AL86" s="5"/>
      <c r="AT86" s="5"/>
    </row>
    <row r="87" spans="6:46" x14ac:dyDescent="0.25">
      <c r="F87" s="5"/>
      <c r="N87" s="5"/>
      <c r="V87" s="5"/>
      <c r="Z87" s="8"/>
      <c r="AA87" s="8"/>
      <c r="AD87" s="5"/>
      <c r="AL87" s="5"/>
      <c r="AT87" s="5"/>
    </row>
    <row r="88" spans="6:46" x14ac:dyDescent="0.25">
      <c r="F88" s="5"/>
      <c r="N88" s="5"/>
      <c r="V88" s="5"/>
      <c r="Z88" s="8"/>
      <c r="AA88" s="8"/>
      <c r="AD88" s="5"/>
      <c r="AL88" s="5"/>
      <c r="AT88" s="5"/>
    </row>
    <row r="89" spans="6:46" x14ac:dyDescent="0.25">
      <c r="F89" s="5"/>
      <c r="N89" s="5"/>
      <c r="V89" s="5"/>
      <c r="Z89" s="8"/>
      <c r="AA89" s="8"/>
      <c r="AD89" s="5"/>
      <c r="AL89" s="5"/>
      <c r="AT89" s="5"/>
    </row>
    <row r="90" spans="6:46" x14ac:dyDescent="0.25">
      <c r="F90" s="5"/>
      <c r="N90" s="5"/>
      <c r="V90" s="5"/>
      <c r="Z90" s="8"/>
      <c r="AA90" s="8"/>
      <c r="AD90" s="5"/>
      <c r="AL90" s="5"/>
      <c r="AT90" s="5"/>
    </row>
    <row r="91" spans="6:46" x14ac:dyDescent="0.25">
      <c r="F91" s="5"/>
      <c r="N91" s="5"/>
      <c r="V91" s="5"/>
      <c r="Z91" s="8"/>
      <c r="AA91" s="8"/>
      <c r="AD91" s="5"/>
      <c r="AL91" s="5"/>
      <c r="AT91" s="5"/>
    </row>
    <row r="92" spans="6:46" x14ac:dyDescent="0.25">
      <c r="F92" s="5"/>
      <c r="N92" s="5"/>
      <c r="V92" s="5"/>
      <c r="Z92" s="8"/>
      <c r="AA92" s="8"/>
      <c r="AD92" s="5"/>
      <c r="AL92" s="5"/>
      <c r="AT92" s="5"/>
    </row>
    <row r="93" spans="6:46" x14ac:dyDescent="0.25">
      <c r="F93" s="5"/>
      <c r="N93" s="5"/>
      <c r="V93" s="5"/>
      <c r="Z93" s="8"/>
      <c r="AA93" s="8"/>
      <c r="AD93" s="5"/>
      <c r="AL93" s="5"/>
      <c r="AT93" s="5"/>
    </row>
    <row r="94" spans="6:46" x14ac:dyDescent="0.25">
      <c r="F94" s="5"/>
      <c r="N94" s="5"/>
      <c r="V94" s="5"/>
      <c r="Z94" s="8"/>
      <c r="AA94" s="8"/>
      <c r="AD94" s="5"/>
      <c r="AL94" s="5"/>
      <c r="AT94" s="5"/>
    </row>
    <row r="95" spans="6:46" x14ac:dyDescent="0.25">
      <c r="F95" s="5"/>
      <c r="N95" s="5"/>
      <c r="V95" s="5"/>
      <c r="Z95" s="8"/>
      <c r="AA95" s="8"/>
      <c r="AD95" s="5"/>
      <c r="AL95" s="5"/>
      <c r="AT95" s="5"/>
    </row>
    <row r="96" spans="6:46" x14ac:dyDescent="0.25">
      <c r="F96" s="5"/>
      <c r="N96" s="5"/>
      <c r="V96" s="5"/>
      <c r="Z96" s="8"/>
      <c r="AA96" s="8"/>
      <c r="AD96" s="5"/>
      <c r="AL96" s="5"/>
      <c r="AT96" s="5"/>
    </row>
    <row r="97" spans="6:46" x14ac:dyDescent="0.25">
      <c r="F97" s="5"/>
      <c r="N97" s="5"/>
      <c r="V97" s="5"/>
      <c r="Z97" s="8"/>
      <c r="AA97" s="8"/>
      <c r="AD97" s="5"/>
      <c r="AL97" s="5"/>
      <c r="AT97" s="5"/>
    </row>
    <row r="98" spans="6:46" x14ac:dyDescent="0.25">
      <c r="F98" s="5"/>
      <c r="N98" s="5"/>
      <c r="V98" s="5"/>
      <c r="Z98" s="8"/>
      <c r="AA98" s="8"/>
      <c r="AD98" s="5"/>
      <c r="AL98" s="5"/>
      <c r="AT98" s="5"/>
    </row>
    <row r="99" spans="6:46" x14ac:dyDescent="0.25">
      <c r="F99" s="5"/>
      <c r="N99" s="5"/>
      <c r="V99" s="5"/>
      <c r="Z99" s="8"/>
      <c r="AA99" s="8"/>
      <c r="AD99" s="5"/>
      <c r="AL99" s="5"/>
      <c r="AT99" s="5"/>
    </row>
    <row r="100" spans="6:46" x14ac:dyDescent="0.25">
      <c r="F100" s="5"/>
      <c r="N100" s="5"/>
      <c r="V100" s="5"/>
      <c r="Z100" s="8"/>
      <c r="AA100" s="8"/>
      <c r="AD100" s="5"/>
      <c r="AL100" s="5"/>
      <c r="AT100" s="5"/>
    </row>
    <row r="101" spans="6:46" x14ac:dyDescent="0.25">
      <c r="F101" s="5"/>
      <c r="N101" s="5"/>
      <c r="V101" s="5"/>
      <c r="Z101" s="8"/>
      <c r="AA101" s="8"/>
      <c r="AD101" s="5"/>
      <c r="AL101" s="5"/>
      <c r="AT101" s="5"/>
    </row>
    <row r="102" spans="6:46" x14ac:dyDescent="0.25">
      <c r="F102" s="5"/>
      <c r="N102" s="5"/>
      <c r="V102" s="5"/>
      <c r="Z102" s="8"/>
      <c r="AA102" s="8"/>
      <c r="AD102" s="5"/>
      <c r="AL102" s="5"/>
      <c r="AT102" s="5"/>
    </row>
    <row r="103" spans="6:46" x14ac:dyDescent="0.25">
      <c r="F103" s="5"/>
      <c r="N103" s="5"/>
      <c r="V103" s="5"/>
      <c r="Z103" s="8"/>
      <c r="AA103" s="8"/>
      <c r="AD103" s="5"/>
      <c r="AL103" s="5"/>
      <c r="AT103" s="5"/>
    </row>
    <row r="104" spans="6:46" x14ac:dyDescent="0.25">
      <c r="F104" s="5"/>
      <c r="N104" s="5"/>
      <c r="V104" s="5"/>
      <c r="Z104" s="8"/>
      <c r="AA104" s="8"/>
      <c r="AD104" s="5"/>
      <c r="AL104" s="5"/>
      <c r="AT104" s="5"/>
    </row>
    <row r="105" spans="6:46" x14ac:dyDescent="0.25">
      <c r="F105" s="5"/>
      <c r="N105" s="5"/>
      <c r="V105" s="5"/>
      <c r="Z105" s="8"/>
      <c r="AA105" s="8"/>
      <c r="AD105" s="5"/>
      <c r="AL105" s="5"/>
      <c r="AT105" s="5"/>
    </row>
    <row r="106" spans="6:46" x14ac:dyDescent="0.25">
      <c r="F106" s="5"/>
      <c r="N106" s="5"/>
      <c r="V106" s="5"/>
      <c r="AD106" s="5"/>
      <c r="AL106" s="5"/>
      <c r="AT106" s="5"/>
    </row>
    <row r="107" spans="6:46" x14ac:dyDescent="0.25">
      <c r="F107" s="5"/>
      <c r="N107" s="5"/>
      <c r="V107" s="5"/>
      <c r="AD107" s="5"/>
      <c r="AL107" s="5"/>
      <c r="AT107" s="5"/>
    </row>
    <row r="108" spans="6:46" x14ac:dyDescent="0.25">
      <c r="F108" s="5"/>
      <c r="N108" s="5"/>
      <c r="V108" s="5"/>
      <c r="AD108" s="5"/>
      <c r="AL108" s="5"/>
      <c r="AT108" s="5"/>
    </row>
    <row r="109" spans="6:46" x14ac:dyDescent="0.25">
      <c r="F109" s="5"/>
      <c r="N109" s="5"/>
      <c r="V109" s="5"/>
      <c r="AD109" s="5"/>
      <c r="AL109" s="5"/>
      <c r="AT109" s="5"/>
    </row>
    <row r="110" spans="6:46" x14ac:dyDescent="0.25">
      <c r="F110" s="5"/>
      <c r="N110" s="5"/>
      <c r="V110" s="5"/>
      <c r="AD110" s="5"/>
      <c r="AL110" s="5"/>
      <c r="AT110" s="5"/>
    </row>
    <row r="111" spans="6:46" x14ac:dyDescent="0.25">
      <c r="F111" s="5"/>
      <c r="N111" s="5"/>
      <c r="V111" s="5"/>
      <c r="AD111" s="5"/>
      <c r="AL111" s="5"/>
      <c r="AT111" s="5"/>
    </row>
    <row r="112" spans="6:46" x14ac:dyDescent="0.25">
      <c r="F112" s="5"/>
      <c r="N112" s="5"/>
      <c r="V112" s="5"/>
      <c r="AD112" s="5"/>
      <c r="AL112" s="5"/>
      <c r="AT112" s="5"/>
    </row>
    <row r="113" spans="6:46" x14ac:dyDescent="0.25">
      <c r="F113" s="5"/>
      <c r="N113" s="5"/>
      <c r="V113" s="5"/>
      <c r="AD113" s="5"/>
      <c r="AL113" s="5"/>
      <c r="AT113" s="5"/>
    </row>
    <row r="114" spans="6:46" x14ac:dyDescent="0.25">
      <c r="F114" s="5"/>
      <c r="N114" s="5"/>
      <c r="V114" s="5"/>
      <c r="AD114" s="5"/>
      <c r="AL114" s="5"/>
      <c r="AT114" s="5"/>
    </row>
    <row r="115" spans="6:46" x14ac:dyDescent="0.25">
      <c r="F115" s="5"/>
      <c r="N115" s="5"/>
      <c r="V115" s="5"/>
      <c r="AD115" s="5"/>
      <c r="AL115" s="5"/>
      <c r="AT115" s="5"/>
    </row>
    <row r="116" spans="6:46" x14ac:dyDescent="0.25">
      <c r="F116" s="5"/>
      <c r="N116" s="5"/>
      <c r="V116" s="5"/>
      <c r="AD116" s="5"/>
      <c r="AL116" s="5"/>
      <c r="AT116" s="5"/>
    </row>
    <row r="117" spans="6:46" x14ac:dyDescent="0.25">
      <c r="F117" s="5"/>
      <c r="N117" s="5"/>
      <c r="V117" s="5"/>
      <c r="AD117" s="5"/>
      <c r="AL117" s="5"/>
      <c r="AT117" s="5"/>
    </row>
    <row r="118" spans="6:46" x14ac:dyDescent="0.25">
      <c r="F118" s="5"/>
      <c r="N118" s="5"/>
      <c r="V118" s="5"/>
      <c r="AD118" s="5"/>
      <c r="AL118" s="5"/>
      <c r="AT118" s="5"/>
    </row>
    <row r="119" spans="6:46" x14ac:dyDescent="0.25">
      <c r="F119" s="5"/>
      <c r="N119" s="5"/>
      <c r="V119" s="5"/>
      <c r="AD119" s="5"/>
      <c r="AL119" s="5"/>
      <c r="AT119" s="5"/>
    </row>
    <row r="120" spans="6:46" x14ac:dyDescent="0.25">
      <c r="F120" s="5"/>
      <c r="N120" s="5"/>
      <c r="V120" s="5"/>
      <c r="AD120" s="5"/>
      <c r="AL120" s="5"/>
      <c r="AT120" s="5"/>
    </row>
    <row r="121" spans="6:46" x14ac:dyDescent="0.25">
      <c r="F121" s="5"/>
      <c r="N121" s="5"/>
      <c r="V121" s="5"/>
      <c r="AD121" s="5"/>
      <c r="AL121" s="5"/>
      <c r="AT121" s="5"/>
    </row>
    <row r="122" spans="6:46" x14ac:dyDescent="0.25">
      <c r="F122" s="5"/>
      <c r="N122" s="5"/>
      <c r="V122" s="5"/>
      <c r="AD122" s="5"/>
      <c r="AL122" s="5"/>
      <c r="AT122" s="5"/>
    </row>
    <row r="123" spans="6:46" x14ac:dyDescent="0.25">
      <c r="F123" s="5"/>
      <c r="N123" s="5"/>
      <c r="V123" s="5"/>
      <c r="AD123" s="5"/>
      <c r="AL123" s="5"/>
      <c r="AT123" s="5"/>
    </row>
    <row r="124" spans="6:46" x14ac:dyDescent="0.25">
      <c r="F124" s="5"/>
      <c r="N124" s="5"/>
      <c r="V124" s="5"/>
      <c r="AD124" s="5"/>
      <c r="AL124" s="5"/>
      <c r="AT124" s="5"/>
    </row>
    <row r="125" spans="6:46" x14ac:dyDescent="0.25">
      <c r="F125" s="5"/>
      <c r="N125" s="5"/>
      <c r="V125" s="5"/>
      <c r="AD125" s="5"/>
      <c r="AL125" s="5"/>
      <c r="AT125" s="5"/>
    </row>
    <row r="126" spans="6:46" x14ac:dyDescent="0.25">
      <c r="F126" s="5"/>
      <c r="N126" s="5"/>
      <c r="V126" s="5"/>
      <c r="AD126" s="5"/>
      <c r="AL126" s="5"/>
      <c r="AT126" s="5"/>
    </row>
    <row r="127" spans="6:46" x14ac:dyDescent="0.25">
      <c r="F127" s="5"/>
      <c r="N127" s="5"/>
      <c r="V127" s="5"/>
      <c r="AD127" s="5"/>
      <c r="AL127" s="5"/>
      <c r="AT127" s="5"/>
    </row>
    <row r="128" spans="6:46" x14ac:dyDescent="0.25">
      <c r="F128" s="5"/>
      <c r="N128" s="5"/>
      <c r="V128" s="5"/>
      <c r="AD128" s="5"/>
      <c r="AL128" s="5"/>
      <c r="AT128" s="5"/>
    </row>
    <row r="129" spans="6:46" x14ac:dyDescent="0.25">
      <c r="F129" s="5"/>
      <c r="N129" s="5"/>
      <c r="V129" s="5"/>
      <c r="AD129" s="5"/>
      <c r="AL129" s="5"/>
      <c r="AT129" s="5"/>
    </row>
    <row r="130" spans="6:46" x14ac:dyDescent="0.25">
      <c r="F130" s="5"/>
      <c r="N130" s="5"/>
      <c r="V130" s="5"/>
      <c r="AD130" s="5"/>
      <c r="AL130" s="5"/>
      <c r="AT130" s="5"/>
    </row>
    <row r="131" spans="6:46" x14ac:dyDescent="0.25">
      <c r="F131" s="5"/>
      <c r="N131" s="5"/>
      <c r="V131" s="5"/>
      <c r="AD131" s="5"/>
      <c r="AL131" s="5"/>
      <c r="AT131" s="5"/>
    </row>
    <row r="132" spans="6:46" x14ac:dyDescent="0.25">
      <c r="F132" s="5"/>
      <c r="N132" s="5"/>
      <c r="V132" s="5"/>
      <c r="AD132" s="5"/>
      <c r="AL132" s="5"/>
      <c r="AT132" s="5"/>
    </row>
    <row r="133" spans="6:46" x14ac:dyDescent="0.25">
      <c r="F133" s="5"/>
      <c r="N133" s="5"/>
      <c r="V133" s="5"/>
      <c r="AD133" s="5"/>
      <c r="AL133" s="5"/>
      <c r="AT133" s="5"/>
    </row>
    <row r="134" spans="6:46" x14ac:dyDescent="0.25">
      <c r="F134" s="5"/>
      <c r="N134" s="5"/>
      <c r="V134" s="5"/>
      <c r="AD134" s="5"/>
      <c r="AL134" s="5"/>
      <c r="AT134" s="5"/>
    </row>
    <row r="135" spans="6:46" x14ac:dyDescent="0.25">
      <c r="F135" s="5"/>
      <c r="N135" s="5"/>
      <c r="V135" s="5"/>
      <c r="AD135" s="5"/>
      <c r="AL135" s="5"/>
      <c r="AT135" s="5"/>
    </row>
    <row r="136" spans="6:46" x14ac:dyDescent="0.25">
      <c r="F136" s="5"/>
      <c r="N136" s="5"/>
      <c r="V136" s="5"/>
      <c r="AD136" s="5"/>
      <c r="AL136" s="5"/>
      <c r="AT136" s="5"/>
    </row>
    <row r="137" spans="6:46" x14ac:dyDescent="0.25">
      <c r="F137" s="5"/>
      <c r="N137" s="5"/>
      <c r="V137" s="5"/>
      <c r="AD137" s="5"/>
      <c r="AL137" s="5"/>
      <c r="AT137" s="5"/>
    </row>
    <row r="138" spans="6:46" x14ac:dyDescent="0.25">
      <c r="F138" s="5"/>
      <c r="N138" s="5"/>
      <c r="V138" s="5"/>
      <c r="AD138" s="5"/>
      <c r="AL138" s="5"/>
      <c r="AT138" s="5"/>
    </row>
    <row r="139" spans="6:46" x14ac:dyDescent="0.25">
      <c r="F139" s="5"/>
      <c r="N139" s="5"/>
      <c r="V139" s="5"/>
      <c r="AD139" s="5"/>
      <c r="AL139" s="5"/>
      <c r="AT139" s="5"/>
    </row>
    <row r="140" spans="6:46" x14ac:dyDescent="0.25">
      <c r="F140" s="5"/>
      <c r="N140" s="5"/>
      <c r="V140" s="5"/>
      <c r="AD140" s="5"/>
      <c r="AL140" s="5"/>
      <c r="AT140" s="5"/>
    </row>
    <row r="141" spans="6:46" x14ac:dyDescent="0.25">
      <c r="F141" s="5"/>
      <c r="N141" s="5"/>
      <c r="V141" s="5"/>
      <c r="AD141" s="5"/>
      <c r="AL141" s="5"/>
      <c r="AT141" s="5"/>
    </row>
    <row r="142" spans="6:46" x14ac:dyDescent="0.25">
      <c r="F142" s="5"/>
      <c r="N142" s="5"/>
      <c r="V142" s="5"/>
      <c r="AD142" s="5"/>
      <c r="AL142" s="5"/>
      <c r="AT142" s="5"/>
    </row>
    <row r="143" spans="6:46" x14ac:dyDescent="0.25">
      <c r="F143" s="5"/>
      <c r="N143" s="5"/>
      <c r="V143" s="5"/>
      <c r="AD143" s="5"/>
      <c r="AL143" s="5"/>
      <c r="AT143" s="5"/>
    </row>
    <row r="144" spans="6:46" x14ac:dyDescent="0.25">
      <c r="F144" s="5"/>
      <c r="N144" s="5"/>
      <c r="V144" s="5"/>
      <c r="AD144" s="5"/>
      <c r="AL144" s="5"/>
      <c r="AT144" s="5"/>
    </row>
    <row r="145" spans="6:46" x14ac:dyDescent="0.25">
      <c r="F145" s="5"/>
      <c r="N145" s="5"/>
      <c r="V145" s="5"/>
      <c r="AD145" s="5"/>
      <c r="AL145" s="5"/>
      <c r="AT145" s="5"/>
    </row>
    <row r="146" spans="6:46" x14ac:dyDescent="0.25">
      <c r="F146" s="5"/>
      <c r="N146" s="5"/>
      <c r="V146" s="5"/>
      <c r="AD146" s="5"/>
      <c r="AL146" s="5"/>
      <c r="AT146" s="5"/>
    </row>
    <row r="147" spans="6:46" x14ac:dyDescent="0.25">
      <c r="F147" s="5"/>
      <c r="N147" s="5"/>
      <c r="V147" s="5"/>
      <c r="AD147" s="5"/>
      <c r="AL147" s="5"/>
      <c r="AT147" s="5"/>
    </row>
    <row r="148" spans="6:46" x14ac:dyDescent="0.25">
      <c r="F148" s="5"/>
      <c r="N148" s="5"/>
      <c r="V148" s="5"/>
      <c r="AD148" s="5"/>
      <c r="AL148" s="5"/>
      <c r="AT148" s="5"/>
    </row>
    <row r="149" spans="6:46" x14ac:dyDescent="0.25">
      <c r="F149" s="5"/>
      <c r="N149" s="5"/>
      <c r="V149" s="5"/>
      <c r="AD149" s="5"/>
      <c r="AL149" s="5"/>
      <c r="AT149" s="5"/>
    </row>
    <row r="150" spans="6:46" x14ac:dyDescent="0.25">
      <c r="F150" s="5"/>
      <c r="N150" s="5"/>
      <c r="V150" s="5"/>
      <c r="AD150" s="5"/>
      <c r="AL150" s="5"/>
      <c r="AT150" s="5"/>
    </row>
    <row r="151" spans="6:46" x14ac:dyDescent="0.25">
      <c r="F151" s="5"/>
      <c r="N151" s="5"/>
      <c r="V151" s="5"/>
      <c r="AD151" s="5"/>
      <c r="AL151" s="5"/>
      <c r="AT151" s="5"/>
    </row>
    <row r="152" spans="6:46" x14ac:dyDescent="0.25">
      <c r="F152" s="5"/>
      <c r="N152" s="5"/>
      <c r="V152" s="5"/>
      <c r="AD152" s="5"/>
      <c r="AL152" s="5"/>
      <c r="AT152" s="5"/>
    </row>
    <row r="153" spans="6:46" x14ac:dyDescent="0.25">
      <c r="F153" s="5"/>
      <c r="N153" s="5"/>
      <c r="V153" s="5"/>
      <c r="AD153" s="5"/>
      <c r="AL153" s="5"/>
      <c r="AT153" s="5"/>
    </row>
    <row r="154" spans="6:46" x14ac:dyDescent="0.25">
      <c r="F154" s="5"/>
      <c r="N154" s="5"/>
      <c r="V154" s="5"/>
      <c r="AD154" s="5"/>
      <c r="AL154" s="5"/>
      <c r="AT154" s="5"/>
    </row>
    <row r="155" spans="6:46" x14ac:dyDescent="0.25">
      <c r="F155" s="5"/>
      <c r="N155" s="5"/>
      <c r="V155" s="5"/>
      <c r="AD155" s="5"/>
      <c r="AL155" s="5"/>
      <c r="AT155" s="5"/>
    </row>
    <row r="156" spans="6:46" x14ac:dyDescent="0.25">
      <c r="F156" s="5"/>
      <c r="N156" s="5"/>
      <c r="V156" s="5"/>
      <c r="AD156" s="5"/>
      <c r="AL156" s="5"/>
      <c r="AT156" s="5"/>
    </row>
    <row r="157" spans="6:46" x14ac:dyDescent="0.25">
      <c r="F157" s="5"/>
      <c r="N157" s="5"/>
      <c r="V157" s="5"/>
      <c r="AD157" s="5"/>
      <c r="AL157" s="5"/>
      <c r="AT157" s="5"/>
    </row>
    <row r="158" spans="6:46" x14ac:dyDescent="0.25">
      <c r="F158" s="5"/>
      <c r="N158" s="5"/>
      <c r="V158" s="5"/>
      <c r="AD158" s="5"/>
      <c r="AL158" s="5"/>
      <c r="AT158" s="5"/>
    </row>
    <row r="159" spans="6:46" x14ac:dyDescent="0.25">
      <c r="F159" s="5"/>
      <c r="N159" s="5"/>
      <c r="V159" s="5"/>
      <c r="AD159" s="5"/>
      <c r="AL159" s="5"/>
      <c r="AT159" s="5"/>
    </row>
    <row r="160" spans="6:46" x14ac:dyDescent="0.25">
      <c r="F160" s="5"/>
      <c r="N160" s="5"/>
      <c r="V160" s="5"/>
      <c r="AD160" s="5"/>
      <c r="AL160" s="5"/>
      <c r="AT160" s="5"/>
    </row>
    <row r="161" spans="6:46" x14ac:dyDescent="0.25">
      <c r="F161" s="5"/>
      <c r="N161" s="5"/>
      <c r="V161" s="5"/>
      <c r="AD161" s="5"/>
      <c r="AL161" s="5"/>
      <c r="AT161" s="5"/>
    </row>
    <row r="162" spans="6:46" x14ac:dyDescent="0.25">
      <c r="F162" s="5"/>
      <c r="N162" s="5"/>
      <c r="V162" s="5"/>
      <c r="AD162" s="5"/>
      <c r="AL162" s="5"/>
      <c r="AT162" s="5"/>
    </row>
    <row r="163" spans="6:46" x14ac:dyDescent="0.25">
      <c r="F163" s="5"/>
      <c r="N163" s="5"/>
      <c r="V163" s="5"/>
      <c r="AD163" s="5"/>
      <c r="AL163" s="5"/>
      <c r="AT163" s="5"/>
    </row>
    <row r="164" spans="6:46" x14ac:dyDescent="0.25">
      <c r="F164" s="5"/>
      <c r="N164" s="5"/>
      <c r="V164" s="5"/>
      <c r="AD164" s="5"/>
      <c r="AL164" s="5"/>
      <c r="AT164" s="5"/>
    </row>
    <row r="165" spans="6:46" x14ac:dyDescent="0.25">
      <c r="F165" s="5"/>
      <c r="N165" s="5"/>
      <c r="V165" s="5"/>
      <c r="AD165" s="5"/>
      <c r="AL165" s="5"/>
      <c r="AT165" s="5"/>
    </row>
    <row r="166" spans="6:46" x14ac:dyDescent="0.25">
      <c r="F166" s="5"/>
      <c r="N166" s="5"/>
      <c r="V166" s="5"/>
      <c r="AD166" s="5"/>
      <c r="AL166" s="5"/>
      <c r="AT166" s="5"/>
    </row>
    <row r="167" spans="6:46" x14ac:dyDescent="0.25">
      <c r="F167" s="5"/>
      <c r="N167" s="5"/>
      <c r="V167" s="5"/>
      <c r="AD167" s="5"/>
      <c r="AL167" s="5"/>
      <c r="AT167" s="5"/>
    </row>
    <row r="168" spans="6:46" x14ac:dyDescent="0.25">
      <c r="F168" s="5"/>
      <c r="N168" s="5"/>
      <c r="V168" s="5"/>
      <c r="AD168" s="5"/>
      <c r="AL168" s="5"/>
      <c r="AT168" s="5"/>
    </row>
    <row r="169" spans="6:46" x14ac:dyDescent="0.25">
      <c r="F169" s="5"/>
      <c r="N169" s="5"/>
      <c r="V169" s="5"/>
      <c r="AD169" s="5"/>
      <c r="AL169" s="5"/>
      <c r="AT169" s="5"/>
    </row>
    <row r="170" spans="6:46" x14ac:dyDescent="0.25">
      <c r="F170" s="5"/>
      <c r="N170" s="5"/>
      <c r="V170" s="5"/>
      <c r="AD170" s="5"/>
      <c r="AL170" s="5"/>
      <c r="AT170" s="5"/>
    </row>
    <row r="171" spans="6:46" x14ac:dyDescent="0.25">
      <c r="F171" s="5"/>
      <c r="N171" s="5"/>
      <c r="V171" s="5"/>
      <c r="AD171" s="5"/>
      <c r="AL171" s="5"/>
      <c r="AT171" s="5"/>
    </row>
    <row r="172" spans="6:46" x14ac:dyDescent="0.25">
      <c r="F172" s="5"/>
      <c r="N172" s="5"/>
      <c r="V172" s="5"/>
      <c r="AD172" s="5"/>
      <c r="AL172" s="5"/>
      <c r="AT172" s="5"/>
    </row>
    <row r="173" spans="6:46" x14ac:dyDescent="0.25">
      <c r="F173" s="5"/>
      <c r="N173" s="5"/>
      <c r="V173" s="5"/>
      <c r="AD173" s="5"/>
      <c r="AL173" s="5"/>
      <c r="AT173" s="5"/>
    </row>
    <row r="174" spans="6:46" x14ac:dyDescent="0.25">
      <c r="F174" s="5"/>
      <c r="N174" s="5"/>
      <c r="V174" s="5"/>
      <c r="AD174" s="5"/>
      <c r="AL174" s="5"/>
      <c r="AT174" s="5"/>
    </row>
    <row r="175" spans="6:46" x14ac:dyDescent="0.25">
      <c r="F175" s="5"/>
      <c r="N175" s="5"/>
      <c r="V175" s="5"/>
      <c r="AD175" s="5"/>
      <c r="AL175" s="5"/>
      <c r="AT175" s="5"/>
    </row>
    <row r="176" spans="6:46" x14ac:dyDescent="0.25">
      <c r="F176" s="5"/>
      <c r="N176" s="5"/>
      <c r="V176" s="5"/>
      <c r="AD176" s="5"/>
      <c r="AL176" s="5"/>
      <c r="AT176" s="5"/>
    </row>
    <row r="177" spans="6:46" x14ac:dyDescent="0.25">
      <c r="F177" s="5"/>
      <c r="N177" s="5"/>
      <c r="V177" s="5"/>
      <c r="AD177" s="5"/>
      <c r="AL177" s="5"/>
      <c r="AT177" s="5"/>
    </row>
    <row r="178" spans="6:46" x14ac:dyDescent="0.25">
      <c r="F178" s="5"/>
      <c r="N178" s="5"/>
      <c r="V178" s="5"/>
      <c r="AD178" s="5"/>
      <c r="AL178" s="5"/>
      <c r="AT178" s="5"/>
    </row>
    <row r="179" spans="6:46" x14ac:dyDescent="0.25">
      <c r="F179" s="5"/>
      <c r="N179" s="5"/>
      <c r="V179" s="5"/>
      <c r="AD179" s="5"/>
      <c r="AL179" s="5"/>
      <c r="AT179" s="5"/>
    </row>
    <row r="180" spans="6:46" x14ac:dyDescent="0.25">
      <c r="F180" s="5"/>
      <c r="N180" s="5"/>
      <c r="V180" s="5"/>
      <c r="AD180" s="5"/>
      <c r="AL180" s="5"/>
      <c r="AT180" s="5"/>
    </row>
    <row r="181" spans="6:46" x14ac:dyDescent="0.25">
      <c r="F181" s="5"/>
      <c r="N181" s="5"/>
      <c r="V181" s="5"/>
      <c r="AD181" s="5"/>
      <c r="AL181" s="5"/>
      <c r="AT181" s="5"/>
    </row>
    <row r="182" spans="6:46" x14ac:dyDescent="0.25">
      <c r="F182" s="5"/>
      <c r="N182" s="5"/>
      <c r="V182" s="5"/>
      <c r="AD182" s="5"/>
      <c r="AL182" s="5"/>
      <c r="AT182" s="5"/>
    </row>
    <row r="183" spans="6:46" x14ac:dyDescent="0.25">
      <c r="F183" s="5"/>
      <c r="N183" s="5"/>
      <c r="V183" s="5"/>
      <c r="AD183" s="5"/>
      <c r="AL183" s="5"/>
      <c r="AT183" s="5"/>
    </row>
    <row r="184" spans="6:46" x14ac:dyDescent="0.25">
      <c r="F184" s="5"/>
      <c r="N184" s="5"/>
      <c r="V184" s="5"/>
      <c r="AD184" s="5"/>
      <c r="AL184" s="5"/>
      <c r="AT184" s="5"/>
    </row>
    <row r="185" spans="6:46" x14ac:dyDescent="0.25">
      <c r="F185" s="5"/>
      <c r="N185" s="5"/>
      <c r="V185" s="5"/>
      <c r="AD185" s="5"/>
      <c r="AL185" s="5"/>
      <c r="AT185" s="5"/>
    </row>
    <row r="186" spans="6:46" x14ac:dyDescent="0.25">
      <c r="F186" s="5"/>
      <c r="N186" s="5"/>
      <c r="V186" s="5"/>
      <c r="AD186" s="5"/>
      <c r="AL186" s="5"/>
      <c r="AT186" s="5"/>
    </row>
    <row r="187" spans="6:46" x14ac:dyDescent="0.25">
      <c r="F187" s="5"/>
      <c r="N187" s="5"/>
      <c r="V187" s="5"/>
      <c r="AD187" s="5"/>
      <c r="AL187" s="5"/>
      <c r="AT187" s="5"/>
    </row>
    <row r="188" spans="6:46" x14ac:dyDescent="0.25">
      <c r="F188" s="5"/>
      <c r="N188" s="5"/>
      <c r="V188" s="5"/>
      <c r="AD188" s="5"/>
      <c r="AL188" s="5"/>
      <c r="AT188" s="5"/>
    </row>
    <row r="189" spans="6:46" x14ac:dyDescent="0.25">
      <c r="F189" s="5"/>
      <c r="N189" s="5"/>
      <c r="V189" s="5"/>
      <c r="AD189" s="5"/>
      <c r="AL189" s="5"/>
      <c r="AT189" s="5"/>
    </row>
    <row r="190" spans="6:46" x14ac:dyDescent="0.25">
      <c r="F190" s="5"/>
      <c r="N190" s="5"/>
      <c r="V190" s="5"/>
      <c r="AD190" s="5"/>
      <c r="AL190" s="5"/>
      <c r="AT190" s="5"/>
    </row>
    <row r="191" spans="6:46" x14ac:dyDescent="0.25">
      <c r="F191" s="5"/>
      <c r="N191" s="5"/>
      <c r="V191" s="5"/>
      <c r="AD191" s="5"/>
      <c r="AL191" s="5"/>
      <c r="AT191" s="5"/>
    </row>
    <row r="192" spans="6:46" x14ac:dyDescent="0.25">
      <c r="F192" s="5"/>
      <c r="N192" s="5"/>
      <c r="V192" s="5"/>
      <c r="AD192" s="5"/>
      <c r="AL192" s="5"/>
      <c r="AT192" s="5"/>
    </row>
    <row r="193" spans="6:46" x14ac:dyDescent="0.25">
      <c r="F193" s="5"/>
      <c r="N193" s="5"/>
      <c r="V193" s="5"/>
      <c r="AD193" s="5"/>
      <c r="AL193" s="5"/>
      <c r="AT193" s="5"/>
    </row>
    <row r="194" spans="6:46" x14ac:dyDescent="0.25">
      <c r="F194" s="5"/>
      <c r="N194" s="5"/>
      <c r="V194" s="5"/>
      <c r="AD194" s="5"/>
      <c r="AL194" s="5"/>
      <c r="AT194" s="5"/>
    </row>
    <row r="195" spans="6:46" x14ac:dyDescent="0.25">
      <c r="F195" s="5"/>
      <c r="N195" s="5"/>
      <c r="V195" s="5"/>
      <c r="AD195" s="5"/>
      <c r="AL195" s="5"/>
      <c r="AT195" s="5"/>
    </row>
    <row r="196" spans="6:46" x14ac:dyDescent="0.25">
      <c r="F196" s="5"/>
      <c r="N196" s="5"/>
      <c r="V196" s="5"/>
      <c r="AD196" s="5"/>
      <c r="AL196" s="5"/>
      <c r="AT196" s="5"/>
    </row>
    <row r="197" spans="6:46" x14ac:dyDescent="0.25">
      <c r="F197" s="5"/>
      <c r="N197" s="5"/>
      <c r="V197" s="5"/>
      <c r="AD197" s="5"/>
      <c r="AL197" s="5"/>
      <c r="AT197" s="5"/>
    </row>
    <row r="198" spans="6:46" x14ac:dyDescent="0.25">
      <c r="F198" s="5"/>
      <c r="N198" s="5"/>
      <c r="V198" s="5"/>
      <c r="AD198" s="5"/>
      <c r="AL198" s="5"/>
      <c r="AT198" s="5"/>
    </row>
    <row r="199" spans="6:46" x14ac:dyDescent="0.25">
      <c r="F199" s="5"/>
      <c r="N199" s="5"/>
      <c r="V199" s="5"/>
      <c r="AD199" s="5"/>
      <c r="AL199" s="5"/>
      <c r="AT199" s="5"/>
    </row>
    <row r="200" spans="6:46" x14ac:dyDescent="0.25">
      <c r="F200" s="5"/>
      <c r="N200" s="5"/>
      <c r="V200" s="5"/>
      <c r="AD200" s="5"/>
      <c r="AL200" s="5"/>
      <c r="AT200" s="5"/>
    </row>
    <row r="201" spans="6:46" x14ac:dyDescent="0.25">
      <c r="F201" s="5"/>
      <c r="N201" s="5"/>
      <c r="V201" s="5"/>
      <c r="AD201" s="5"/>
      <c r="AL201" s="5"/>
      <c r="AT201" s="5"/>
    </row>
    <row r="202" spans="6:46" x14ac:dyDescent="0.25">
      <c r="F202" s="5"/>
      <c r="N202" s="5"/>
      <c r="V202" s="5"/>
      <c r="AD202" s="5"/>
      <c r="AL202" s="5"/>
      <c r="AT202" s="5"/>
    </row>
    <row r="203" spans="6:46" x14ac:dyDescent="0.25">
      <c r="F203" s="5"/>
      <c r="N203" s="5"/>
      <c r="V203" s="5"/>
      <c r="AD203" s="5"/>
      <c r="AL203" s="5"/>
      <c r="AT203" s="5"/>
    </row>
    <row r="204" spans="6:46" x14ac:dyDescent="0.25">
      <c r="F204" s="5"/>
      <c r="N204" s="5"/>
      <c r="V204" s="5"/>
      <c r="AD204" s="5"/>
      <c r="AL204" s="5"/>
      <c r="AT204" s="5"/>
    </row>
    <row r="205" spans="6:46" x14ac:dyDescent="0.25">
      <c r="F205" s="5"/>
      <c r="N205" s="5"/>
      <c r="V205" s="5"/>
      <c r="AD205" s="5"/>
      <c r="AL205" s="5"/>
      <c r="AT205" s="5"/>
    </row>
    <row r="206" spans="6:46" x14ac:dyDescent="0.25">
      <c r="F206" s="5"/>
      <c r="N206" s="5"/>
      <c r="V206" s="5"/>
      <c r="AD206" s="5"/>
      <c r="AL206" s="5"/>
      <c r="AT206" s="5"/>
    </row>
    <row r="207" spans="6:46" x14ac:dyDescent="0.25">
      <c r="F207" s="5"/>
      <c r="N207" s="5"/>
      <c r="V207" s="5"/>
      <c r="AD207" s="5"/>
      <c r="AL207" s="5"/>
      <c r="AT207" s="5"/>
    </row>
    <row r="208" spans="6:46" x14ac:dyDescent="0.25">
      <c r="F208" s="5"/>
      <c r="N208" s="5"/>
      <c r="V208" s="5"/>
      <c r="AD208" s="5"/>
      <c r="AL208" s="5"/>
      <c r="AT208" s="5"/>
    </row>
    <row r="209" spans="6:46" x14ac:dyDescent="0.25">
      <c r="F209" s="5"/>
      <c r="N209" s="5"/>
      <c r="V209" s="5"/>
      <c r="AD209" s="5"/>
      <c r="AL209" s="5"/>
      <c r="AT209" s="5"/>
    </row>
    <row r="210" spans="6:46" x14ac:dyDescent="0.25">
      <c r="F210" s="5"/>
      <c r="N210" s="5"/>
      <c r="V210" s="5"/>
      <c r="AD210" s="5"/>
      <c r="AL210" s="5"/>
      <c r="AT210" s="5"/>
    </row>
    <row r="211" spans="6:46" x14ac:dyDescent="0.25">
      <c r="F211" s="5"/>
      <c r="N211" s="5"/>
      <c r="V211" s="5"/>
      <c r="AD211" s="5"/>
      <c r="AL211" s="5"/>
      <c r="AT211" s="5"/>
    </row>
    <row r="212" spans="6:46" x14ac:dyDescent="0.25">
      <c r="F212" s="5"/>
      <c r="N212" s="5"/>
      <c r="V212" s="5"/>
      <c r="AD212" s="5"/>
      <c r="AL212" s="5"/>
      <c r="AT212" s="5"/>
    </row>
    <row r="213" spans="6:46" x14ac:dyDescent="0.25">
      <c r="F213" s="5"/>
      <c r="N213" s="5"/>
      <c r="V213" s="5"/>
      <c r="AD213" s="5"/>
      <c r="AL213" s="5"/>
      <c r="AT213" s="5"/>
    </row>
    <row r="214" spans="6:46" x14ac:dyDescent="0.25">
      <c r="F214" s="5"/>
      <c r="N214" s="5"/>
      <c r="V214" s="5"/>
      <c r="AD214" s="5"/>
      <c r="AL214" s="5"/>
      <c r="AT214" s="5"/>
    </row>
    <row r="215" spans="6:46" x14ac:dyDescent="0.25">
      <c r="F215" s="5"/>
      <c r="N215" s="5"/>
      <c r="V215" s="5"/>
      <c r="AD215" s="5"/>
      <c r="AL215" s="5"/>
      <c r="AT215" s="5"/>
    </row>
    <row r="216" spans="6:46" x14ac:dyDescent="0.25">
      <c r="F216" s="5"/>
      <c r="N216" s="5"/>
      <c r="V216" s="5"/>
      <c r="AD216" s="5"/>
      <c r="AL216" s="5"/>
      <c r="AT216" s="5"/>
    </row>
    <row r="217" spans="6:46" x14ac:dyDescent="0.25">
      <c r="F217" s="5"/>
      <c r="N217" s="5"/>
      <c r="V217" s="5"/>
      <c r="AD217" s="5"/>
      <c r="AL217" s="5"/>
      <c r="AT217" s="5"/>
    </row>
    <row r="218" spans="6:46" x14ac:dyDescent="0.25">
      <c r="F218" s="5"/>
      <c r="N218" s="5"/>
      <c r="V218" s="5"/>
      <c r="AD218" s="5"/>
      <c r="AL218" s="5"/>
      <c r="AT218" s="5"/>
    </row>
    <row r="219" spans="6:46" x14ac:dyDescent="0.25">
      <c r="F219" s="5"/>
      <c r="N219" s="5"/>
      <c r="V219" s="5"/>
      <c r="AD219" s="5"/>
      <c r="AL219" s="5"/>
      <c r="AT219" s="5"/>
    </row>
    <row r="220" spans="6:46" x14ac:dyDescent="0.25">
      <c r="F220" s="5"/>
      <c r="N220" s="5"/>
      <c r="V220" s="5"/>
      <c r="AD220" s="5"/>
      <c r="AL220" s="5"/>
      <c r="AT220" s="5"/>
    </row>
    <row r="221" spans="6:46" x14ac:dyDescent="0.25">
      <c r="F221" s="5"/>
      <c r="N221" s="5"/>
      <c r="V221" s="5"/>
      <c r="AD221" s="5"/>
      <c r="AL221" s="5"/>
      <c r="AT221" s="5"/>
    </row>
    <row r="222" spans="6:46" x14ac:dyDescent="0.25">
      <c r="F222" s="5"/>
      <c r="N222" s="5"/>
      <c r="V222" s="5"/>
      <c r="AD222" s="5"/>
      <c r="AL222" s="5"/>
      <c r="AT222" s="5"/>
    </row>
    <row r="223" spans="6:46" x14ac:dyDescent="0.25">
      <c r="F223" s="5"/>
      <c r="N223" s="5"/>
      <c r="V223" s="5"/>
      <c r="AD223" s="5"/>
      <c r="AL223" s="5"/>
      <c r="AT223" s="5"/>
    </row>
    <row r="224" spans="6:46" x14ac:dyDescent="0.25">
      <c r="F224" s="5"/>
      <c r="N224" s="5"/>
      <c r="V224" s="5"/>
      <c r="AD224" s="5"/>
      <c r="AL224" s="5"/>
      <c r="AT224" s="5"/>
    </row>
    <row r="225" spans="6:46" x14ac:dyDescent="0.25">
      <c r="F225" s="5"/>
      <c r="N225" s="5"/>
      <c r="V225" s="5"/>
      <c r="AD225" s="5"/>
      <c r="AL225" s="5"/>
      <c r="AT225" s="5"/>
    </row>
    <row r="226" spans="6:46" x14ac:dyDescent="0.25">
      <c r="F226" s="5"/>
      <c r="N226" s="5"/>
      <c r="V226" s="5"/>
      <c r="AD226" s="5"/>
      <c r="AL226" s="5"/>
      <c r="AT226" s="5"/>
    </row>
    <row r="227" spans="6:46" x14ac:dyDescent="0.25">
      <c r="F227" s="5"/>
      <c r="N227" s="5"/>
      <c r="V227" s="5"/>
      <c r="AD227" s="5"/>
      <c r="AL227" s="5"/>
      <c r="AT227" s="5"/>
    </row>
    <row r="228" spans="6:46" x14ac:dyDescent="0.25">
      <c r="F228" s="5"/>
      <c r="N228" s="5"/>
      <c r="V228" s="5"/>
      <c r="AD228" s="5"/>
      <c r="AL228" s="5"/>
      <c r="AT228" s="5"/>
    </row>
    <row r="229" spans="6:46" x14ac:dyDescent="0.25">
      <c r="F229" s="5"/>
      <c r="N229" s="5"/>
      <c r="V229" s="5"/>
      <c r="AD229" s="5"/>
      <c r="AL229" s="5"/>
      <c r="AT229" s="5"/>
    </row>
    <row r="230" spans="6:46" x14ac:dyDescent="0.25">
      <c r="F230" s="5"/>
      <c r="N230" s="5"/>
      <c r="V230" s="5"/>
      <c r="AD230" s="5"/>
      <c r="AL230" s="5"/>
      <c r="AT230" s="5"/>
    </row>
    <row r="231" spans="6:46" x14ac:dyDescent="0.25">
      <c r="F231" s="5"/>
      <c r="N231" s="5"/>
      <c r="V231" s="5"/>
      <c r="AD231" s="5"/>
      <c r="AL231" s="5"/>
      <c r="AT231" s="5"/>
    </row>
    <row r="232" spans="6:46" x14ac:dyDescent="0.25">
      <c r="F232" s="5"/>
      <c r="N232" s="5"/>
      <c r="V232" s="5"/>
      <c r="AD232" s="5"/>
      <c r="AL232" s="5"/>
      <c r="AT232" s="5"/>
    </row>
    <row r="233" spans="6:46" x14ac:dyDescent="0.25">
      <c r="F233" s="5"/>
      <c r="N233" s="5"/>
      <c r="V233" s="5"/>
      <c r="AD233" s="5"/>
      <c r="AL233" s="5"/>
      <c r="AT233" s="5"/>
    </row>
    <row r="234" spans="6:46" x14ac:dyDescent="0.25">
      <c r="F234" s="5"/>
      <c r="N234" s="5"/>
      <c r="V234" s="5"/>
      <c r="AD234" s="5"/>
      <c r="AL234" s="5"/>
      <c r="AT234" s="5"/>
    </row>
    <row r="235" spans="6:46" x14ac:dyDescent="0.25">
      <c r="F235" s="5"/>
      <c r="N235" s="5"/>
      <c r="V235" s="5"/>
      <c r="AD235" s="5"/>
      <c r="AL235" s="5"/>
      <c r="AT235" s="5"/>
    </row>
    <row r="236" spans="6:46" x14ac:dyDescent="0.25">
      <c r="F236" s="5"/>
      <c r="N236" s="5"/>
      <c r="V236" s="5"/>
      <c r="AD236" s="5"/>
      <c r="AL236" s="5"/>
      <c r="AT236" s="5"/>
    </row>
    <row r="237" spans="6:46" x14ac:dyDescent="0.25">
      <c r="F237" s="5"/>
      <c r="N237" s="5"/>
      <c r="V237" s="5"/>
      <c r="AD237" s="5"/>
      <c r="AL237" s="5"/>
      <c r="AT237" s="5"/>
    </row>
    <row r="238" spans="6:46" x14ac:dyDescent="0.25">
      <c r="F238" s="5"/>
      <c r="N238" s="5"/>
      <c r="V238" s="5"/>
      <c r="AD238" s="5"/>
      <c r="AL238" s="5"/>
      <c r="AT238" s="5"/>
    </row>
    <row r="239" spans="6:46" x14ac:dyDescent="0.25">
      <c r="F239" s="5"/>
      <c r="N239" s="5"/>
      <c r="V239" s="5"/>
      <c r="AD239" s="5"/>
      <c r="AL239" s="5"/>
      <c r="AT239" s="5"/>
    </row>
    <row r="240" spans="6:46" x14ac:dyDescent="0.25">
      <c r="F240" s="5"/>
      <c r="N240" s="5"/>
      <c r="V240" s="5"/>
      <c r="AD240" s="5"/>
      <c r="AL240" s="5"/>
      <c r="AT240" s="5"/>
    </row>
    <row r="241" spans="6:46" x14ac:dyDescent="0.25">
      <c r="F241" s="5"/>
      <c r="N241" s="5"/>
      <c r="V241" s="5"/>
      <c r="AD241" s="5"/>
      <c r="AL241" s="5"/>
      <c r="AT241" s="5"/>
    </row>
    <row r="242" spans="6:46" x14ac:dyDescent="0.25">
      <c r="F242" s="5"/>
      <c r="N242" s="5"/>
      <c r="V242" s="5"/>
      <c r="AD242" s="5"/>
      <c r="AL242" s="5"/>
      <c r="AT242" s="5"/>
    </row>
    <row r="243" spans="6:46" x14ac:dyDescent="0.25">
      <c r="F243" s="5"/>
      <c r="N243" s="5"/>
      <c r="V243" s="5"/>
      <c r="AD243" s="5"/>
      <c r="AL243" s="5"/>
      <c r="AT243" s="5"/>
    </row>
    <row r="244" spans="6:46" x14ac:dyDescent="0.25">
      <c r="F244" s="5"/>
      <c r="N244" s="5"/>
      <c r="V244" s="5"/>
      <c r="AD244" s="5"/>
      <c r="AL244" s="5"/>
      <c r="AT244" s="5"/>
    </row>
    <row r="245" spans="6:46" x14ac:dyDescent="0.25">
      <c r="F245" s="5"/>
      <c r="N245" s="5"/>
      <c r="V245" s="5"/>
      <c r="AD245" s="5"/>
      <c r="AL245" s="5"/>
      <c r="AT245" s="5"/>
    </row>
    <row r="246" spans="6:46" x14ac:dyDescent="0.25">
      <c r="F246" s="5"/>
      <c r="N246" s="5"/>
      <c r="V246" s="5"/>
      <c r="AD246" s="5"/>
      <c r="AL246" s="5"/>
      <c r="AT246" s="5"/>
    </row>
    <row r="247" spans="6:46" x14ac:dyDescent="0.25">
      <c r="F247" s="5"/>
      <c r="N247" s="5"/>
      <c r="V247" s="5"/>
      <c r="AD247" s="5"/>
      <c r="AL247" s="5"/>
      <c r="AT247" s="5"/>
    </row>
    <row r="248" spans="6:46" x14ac:dyDescent="0.25">
      <c r="F248" s="5"/>
      <c r="N248" s="5"/>
      <c r="V248" s="5"/>
      <c r="AD248" s="5"/>
      <c r="AL248" s="5"/>
      <c r="AT248" s="5"/>
    </row>
    <row r="249" spans="6:46" x14ac:dyDescent="0.25">
      <c r="F249" s="5"/>
      <c r="N249" s="5"/>
      <c r="V249" s="5"/>
      <c r="AD249" s="5"/>
      <c r="AL249" s="5"/>
      <c r="AT249" s="5"/>
    </row>
    <row r="250" spans="6:46" x14ac:dyDescent="0.25">
      <c r="F250" s="5"/>
      <c r="N250" s="5"/>
      <c r="V250" s="5"/>
      <c r="AD250" s="5"/>
      <c r="AL250" s="5"/>
      <c r="AT250" s="5"/>
    </row>
    <row r="251" spans="6:46" x14ac:dyDescent="0.25">
      <c r="F251" s="5"/>
      <c r="N251" s="5"/>
      <c r="V251" s="5"/>
      <c r="AD251" s="5"/>
      <c r="AL251" s="5"/>
      <c r="AT251" s="5"/>
    </row>
    <row r="252" spans="6:46" x14ac:dyDescent="0.25">
      <c r="F252" s="5"/>
      <c r="N252" s="5"/>
      <c r="V252" s="5"/>
      <c r="AD252" s="5"/>
      <c r="AL252" s="5"/>
      <c r="AT252" s="5"/>
    </row>
    <row r="253" spans="6:46" x14ac:dyDescent="0.25">
      <c r="F253" s="5"/>
      <c r="N253" s="5"/>
      <c r="V253" s="5"/>
      <c r="AD253" s="5"/>
      <c r="AL253" s="5"/>
      <c r="AT253" s="5"/>
    </row>
    <row r="254" spans="6:46" x14ac:dyDescent="0.25">
      <c r="F254" s="5"/>
      <c r="N254" s="5"/>
      <c r="V254" s="5"/>
      <c r="AD254" s="5"/>
      <c r="AL254" s="5"/>
      <c r="AT254" s="5"/>
    </row>
    <row r="255" spans="6:46" x14ac:dyDescent="0.25">
      <c r="F255" s="5"/>
      <c r="N255" s="5"/>
      <c r="V255" s="5"/>
      <c r="AD255" s="5"/>
      <c r="AL255" s="5"/>
      <c r="AT255" s="5"/>
    </row>
    <row r="256" spans="6:46" x14ac:dyDescent="0.25">
      <c r="F256" s="5"/>
      <c r="N256" s="5"/>
      <c r="V256" s="5"/>
      <c r="AD256" s="5"/>
      <c r="AL256" s="5"/>
      <c r="AT256" s="5"/>
    </row>
    <row r="257" spans="6:46" x14ac:dyDescent="0.25">
      <c r="F257" s="5"/>
      <c r="N257" s="5"/>
      <c r="V257" s="5"/>
      <c r="AD257" s="5"/>
      <c r="AL257" s="5"/>
      <c r="AT257" s="5"/>
    </row>
    <row r="258" spans="6:46" x14ac:dyDescent="0.25">
      <c r="F258" s="5"/>
      <c r="N258" s="5"/>
      <c r="V258" s="5"/>
      <c r="AD258" s="5"/>
      <c r="AL258" s="5"/>
      <c r="AT258" s="5"/>
    </row>
    <row r="259" spans="6:46" x14ac:dyDescent="0.25">
      <c r="F259" s="5"/>
      <c r="N259" s="5"/>
      <c r="V259" s="5"/>
      <c r="AD259" s="5"/>
      <c r="AL259" s="5"/>
      <c r="AT259" s="5"/>
    </row>
    <row r="260" spans="6:46" x14ac:dyDescent="0.25">
      <c r="F260" s="5"/>
      <c r="N260" s="5"/>
      <c r="V260" s="5"/>
      <c r="AD260" s="5"/>
      <c r="AL260" s="5"/>
      <c r="AT260" s="5"/>
    </row>
    <row r="261" spans="6:46" x14ac:dyDescent="0.25">
      <c r="F261" s="5"/>
      <c r="N261" s="5"/>
      <c r="V261" s="5"/>
      <c r="AD261" s="5"/>
      <c r="AL261" s="5"/>
      <c r="AT261" s="5"/>
    </row>
    <row r="262" spans="6:46" x14ac:dyDescent="0.25">
      <c r="F262" s="5"/>
      <c r="N262" s="5"/>
      <c r="V262" s="5"/>
      <c r="AD262" s="5"/>
      <c r="AL262" s="5"/>
      <c r="AT262" s="5"/>
    </row>
    <row r="263" spans="6:46" x14ac:dyDescent="0.25">
      <c r="F263" s="5"/>
      <c r="N263" s="5"/>
      <c r="V263" s="5"/>
      <c r="AD263" s="5"/>
      <c r="AL263" s="5"/>
      <c r="AT263" s="5"/>
    </row>
    <row r="264" spans="6:46" x14ac:dyDescent="0.25">
      <c r="F264" s="5"/>
      <c r="N264" s="5"/>
      <c r="V264" s="5"/>
      <c r="AD264" s="5"/>
      <c r="AL264" s="5"/>
      <c r="AT264" s="5"/>
    </row>
    <row r="265" spans="6:46" x14ac:dyDescent="0.25">
      <c r="F265" s="5"/>
      <c r="N265" s="5"/>
      <c r="V265" s="5"/>
      <c r="AD265" s="5"/>
      <c r="AL265" s="5"/>
      <c r="AT265" s="5"/>
    </row>
    <row r="266" spans="6:46" x14ac:dyDescent="0.25">
      <c r="F266" s="5"/>
      <c r="N266" s="5"/>
      <c r="V266" s="5"/>
      <c r="AD266" s="5"/>
      <c r="AL266" s="5"/>
      <c r="AT266" s="5"/>
    </row>
    <row r="267" spans="6:46" x14ac:dyDescent="0.25">
      <c r="F267" s="5"/>
      <c r="N267" s="5"/>
      <c r="V267" s="5"/>
      <c r="AD267" s="5"/>
      <c r="AL267" s="5"/>
      <c r="AT267" s="5"/>
    </row>
    <row r="268" spans="6:46" x14ac:dyDescent="0.25">
      <c r="F268" s="5"/>
      <c r="N268" s="5"/>
      <c r="V268" s="5"/>
      <c r="AD268" s="5"/>
      <c r="AL268" s="5"/>
      <c r="AT268" s="5"/>
    </row>
    <row r="269" spans="6:46" x14ac:dyDescent="0.25">
      <c r="F269" s="5"/>
      <c r="N269" s="5"/>
      <c r="V269" s="5"/>
      <c r="AD269" s="5"/>
      <c r="AL269" s="5"/>
      <c r="AT269" s="5"/>
    </row>
    <row r="270" spans="6:46" x14ac:dyDescent="0.25">
      <c r="F270" s="5"/>
      <c r="N270" s="5"/>
      <c r="V270" s="5"/>
      <c r="AD270" s="5"/>
      <c r="AL270" s="5"/>
      <c r="AT270" s="5"/>
    </row>
    <row r="271" spans="6:46" x14ac:dyDescent="0.25">
      <c r="F271" s="5"/>
      <c r="N271" s="5"/>
      <c r="V271" s="5"/>
      <c r="AD271" s="5"/>
      <c r="AL271" s="5"/>
      <c r="AT271" s="5"/>
    </row>
    <row r="272" spans="6:46" x14ac:dyDescent="0.25">
      <c r="F272" s="5"/>
      <c r="N272" s="5"/>
      <c r="V272" s="5"/>
      <c r="AD272" s="5"/>
      <c r="AL272" s="5"/>
      <c r="AT272" s="5"/>
    </row>
    <row r="273" spans="6:46" x14ac:dyDescent="0.25">
      <c r="F273" s="5"/>
      <c r="N273" s="5"/>
      <c r="V273" s="5"/>
      <c r="AD273" s="5"/>
      <c r="AL273" s="5"/>
      <c r="AT273" s="5"/>
    </row>
    <row r="274" spans="6:46" x14ac:dyDescent="0.25">
      <c r="F274" s="5"/>
      <c r="N274" s="5"/>
      <c r="V274" s="5"/>
      <c r="AD274" s="5"/>
      <c r="AL274" s="5"/>
      <c r="AT274" s="5"/>
    </row>
    <row r="275" spans="6:46" x14ac:dyDescent="0.25">
      <c r="F275" s="5"/>
      <c r="N275" s="5"/>
      <c r="V275" s="5"/>
      <c r="AD275" s="5"/>
      <c r="AL275" s="5"/>
      <c r="AT275" s="5"/>
    </row>
    <row r="276" spans="6:46" x14ac:dyDescent="0.25">
      <c r="F276" s="5"/>
      <c r="N276" s="5"/>
      <c r="V276" s="5"/>
      <c r="AD276" s="5"/>
      <c r="AL276" s="5"/>
      <c r="AT276" s="5"/>
    </row>
    <row r="277" spans="6:46" x14ac:dyDescent="0.25">
      <c r="F277" s="5"/>
      <c r="N277" s="5"/>
      <c r="V277" s="5"/>
      <c r="AD277" s="5"/>
      <c r="AL277" s="5"/>
      <c r="AT277" s="5"/>
    </row>
    <row r="278" spans="6:46" x14ac:dyDescent="0.25">
      <c r="F278" s="5"/>
      <c r="N278" s="5"/>
      <c r="V278" s="5"/>
      <c r="AD278" s="5"/>
      <c r="AL278" s="5"/>
      <c r="AT278" s="5"/>
    </row>
    <row r="279" spans="6:46" x14ac:dyDescent="0.25">
      <c r="F279" s="5"/>
      <c r="N279" s="5"/>
      <c r="V279" s="5"/>
      <c r="AD279" s="5"/>
      <c r="AL279" s="5"/>
      <c r="AT279" s="5"/>
    </row>
    <row r="280" spans="6:46" x14ac:dyDescent="0.25">
      <c r="F280" s="5"/>
      <c r="N280" s="5"/>
      <c r="V280" s="5"/>
      <c r="AD280" s="5"/>
      <c r="AL280" s="5"/>
      <c r="AT280" s="5"/>
    </row>
    <row r="281" spans="6:46" x14ac:dyDescent="0.25">
      <c r="F281" s="5"/>
      <c r="N281" s="5"/>
      <c r="V281" s="5"/>
      <c r="AD281" s="5"/>
      <c r="AL281" s="5"/>
      <c r="AT281" s="5"/>
    </row>
    <row r="282" spans="6:46" x14ac:dyDescent="0.25">
      <c r="F282" s="5"/>
      <c r="N282" s="5"/>
      <c r="V282" s="5"/>
      <c r="AD282" s="5"/>
      <c r="AL282" s="5"/>
      <c r="AT282" s="5"/>
    </row>
    <row r="283" spans="6:46" x14ac:dyDescent="0.25">
      <c r="F283" s="5"/>
      <c r="N283" s="5"/>
      <c r="V283" s="5"/>
      <c r="AD283" s="5"/>
      <c r="AL283" s="5"/>
      <c r="AT283" s="5"/>
    </row>
    <row r="284" spans="6:46" x14ac:dyDescent="0.25">
      <c r="F284" s="5"/>
      <c r="N284" s="5"/>
      <c r="V284" s="5"/>
      <c r="AD284" s="5"/>
      <c r="AL284" s="5"/>
      <c r="AT284" s="5"/>
    </row>
    <row r="285" spans="6:46" x14ac:dyDescent="0.25">
      <c r="F285" s="5"/>
      <c r="N285" s="5"/>
      <c r="V285" s="5"/>
      <c r="AD285" s="5"/>
      <c r="AL285" s="5"/>
      <c r="AT285" s="5"/>
    </row>
    <row r="286" spans="6:46" x14ac:dyDescent="0.25">
      <c r="F286" s="5"/>
      <c r="N286" s="5"/>
      <c r="V286" s="5"/>
      <c r="AD286" s="5"/>
      <c r="AL286" s="5"/>
      <c r="AT286" s="5"/>
    </row>
    <row r="287" spans="6:46" x14ac:dyDescent="0.25">
      <c r="F287" s="5"/>
      <c r="N287" s="5"/>
      <c r="V287" s="5"/>
      <c r="AD287" s="5"/>
      <c r="AL287" s="5"/>
      <c r="AT287" s="5"/>
    </row>
    <row r="288" spans="6:46" x14ac:dyDescent="0.25">
      <c r="F288" s="5"/>
      <c r="N288" s="5"/>
      <c r="V288" s="5"/>
      <c r="AD288" s="5"/>
      <c r="AL288" s="5"/>
      <c r="AT288" s="5"/>
    </row>
    <row r="289" spans="6:46" x14ac:dyDescent="0.25">
      <c r="F289" s="5"/>
      <c r="N289" s="5"/>
      <c r="V289" s="5"/>
      <c r="AD289" s="5"/>
      <c r="AL289" s="5"/>
      <c r="AT289" s="5"/>
    </row>
    <row r="290" spans="6:46" x14ac:dyDescent="0.25">
      <c r="F290" s="5"/>
      <c r="N290" s="5"/>
      <c r="V290" s="5"/>
      <c r="AD290" s="5"/>
      <c r="AL290" s="5"/>
      <c r="AT290" s="5"/>
    </row>
    <row r="291" spans="6:46" x14ac:dyDescent="0.25">
      <c r="F291" s="5"/>
      <c r="N291" s="5"/>
      <c r="V291" s="5"/>
      <c r="AD291" s="5"/>
      <c r="AL291" s="5"/>
      <c r="AT291" s="5"/>
    </row>
    <row r="292" spans="6:46" x14ac:dyDescent="0.25">
      <c r="F292" s="5"/>
      <c r="N292" s="5"/>
      <c r="V292" s="5"/>
      <c r="AD292" s="5"/>
      <c r="AL292" s="5"/>
      <c r="AT292" s="5"/>
    </row>
    <row r="293" spans="6:46" x14ac:dyDescent="0.25">
      <c r="F293" s="5"/>
      <c r="N293" s="5"/>
      <c r="V293" s="5"/>
      <c r="AD293" s="5"/>
      <c r="AL293" s="5"/>
      <c r="AT293" s="5"/>
    </row>
    <row r="294" spans="6:46" x14ac:dyDescent="0.25">
      <c r="F294" s="5"/>
      <c r="N294" s="5"/>
      <c r="V294" s="5"/>
      <c r="AD294" s="5"/>
      <c r="AL294" s="5"/>
      <c r="AT294" s="5"/>
    </row>
    <row r="295" spans="6:46" x14ac:dyDescent="0.25">
      <c r="F295" s="5"/>
      <c r="N295" s="5"/>
      <c r="V295" s="5"/>
      <c r="AD295" s="5"/>
      <c r="AL295" s="5"/>
      <c r="AT295" s="5"/>
    </row>
    <row r="296" spans="6:46" x14ac:dyDescent="0.25">
      <c r="F296" s="5"/>
      <c r="N296" s="5"/>
      <c r="V296" s="5"/>
      <c r="AD296" s="5"/>
      <c r="AL296" s="5"/>
      <c r="AT296" s="5"/>
    </row>
    <row r="297" spans="6:46" x14ac:dyDescent="0.25">
      <c r="F297" s="5"/>
      <c r="N297" s="5"/>
      <c r="V297" s="5"/>
      <c r="AD297" s="5"/>
      <c r="AL297" s="5"/>
      <c r="AT297" s="5"/>
    </row>
    <row r="298" spans="6:46" x14ac:dyDescent="0.25">
      <c r="F298" s="5"/>
      <c r="N298" s="5"/>
      <c r="V298" s="5"/>
      <c r="AD298" s="5"/>
      <c r="AL298" s="5"/>
      <c r="AT298" s="5"/>
    </row>
    <row r="299" spans="6:46" x14ac:dyDescent="0.25">
      <c r="F299" s="5"/>
      <c r="N299" s="5"/>
      <c r="V299" s="5"/>
      <c r="AD299" s="5"/>
      <c r="AL299" s="5"/>
      <c r="AT299" s="5"/>
    </row>
    <row r="300" spans="6:46" x14ac:dyDescent="0.25">
      <c r="F300" s="5"/>
      <c r="N300" s="5"/>
      <c r="V300" s="5"/>
      <c r="AD300" s="5"/>
      <c r="AL300" s="5"/>
      <c r="AT300" s="5"/>
    </row>
    <row r="301" spans="6:46" x14ac:dyDescent="0.25">
      <c r="F301" s="5"/>
      <c r="N301" s="5"/>
      <c r="V301" s="5"/>
      <c r="AD301" s="5"/>
      <c r="AL301" s="5"/>
      <c r="AT301" s="5"/>
    </row>
    <row r="302" spans="6:46" x14ac:dyDescent="0.25">
      <c r="F302" s="5"/>
      <c r="N302" s="5"/>
      <c r="V302" s="5"/>
      <c r="AD302" s="5"/>
      <c r="AL302" s="5"/>
      <c r="AT302" s="5"/>
    </row>
    <row r="303" spans="6:46" x14ac:dyDescent="0.25">
      <c r="F303" s="5"/>
      <c r="N303" s="5"/>
      <c r="V303" s="5"/>
      <c r="AD303" s="5"/>
      <c r="AL303" s="5"/>
      <c r="AT303" s="5"/>
    </row>
    <row r="304" spans="6:46" x14ac:dyDescent="0.25">
      <c r="F304" s="5"/>
      <c r="N304" s="5"/>
      <c r="V304" s="5"/>
      <c r="AD304" s="5"/>
      <c r="AL304" s="5"/>
      <c r="AT304" s="5"/>
    </row>
    <row r="305" spans="6:46" x14ac:dyDescent="0.25">
      <c r="F305" s="5"/>
      <c r="N305" s="5"/>
      <c r="V305" s="5"/>
      <c r="AD305" s="5"/>
      <c r="AL305" s="5"/>
      <c r="AT305" s="5"/>
    </row>
    <row r="306" spans="6:46" x14ac:dyDescent="0.25">
      <c r="F306" s="5"/>
      <c r="N306" s="5"/>
      <c r="V306" s="5"/>
      <c r="AD306" s="5"/>
      <c r="AL306" s="5"/>
      <c r="AT306" s="5"/>
    </row>
    <row r="307" spans="6:46" x14ac:dyDescent="0.25">
      <c r="F307" s="5"/>
      <c r="N307" s="5"/>
      <c r="V307" s="5"/>
      <c r="AD307" s="5"/>
      <c r="AL307" s="5"/>
      <c r="AT307" s="5"/>
    </row>
    <row r="308" spans="6:46" x14ac:dyDescent="0.25">
      <c r="F308" s="5"/>
      <c r="N308" s="5"/>
      <c r="V308" s="5"/>
      <c r="AD308" s="5"/>
      <c r="AL308" s="5"/>
      <c r="AT308" s="5"/>
    </row>
    <row r="309" spans="6:46" x14ac:dyDescent="0.25">
      <c r="F309" s="5"/>
      <c r="N309" s="5"/>
      <c r="V309" s="5"/>
      <c r="AD309" s="5"/>
      <c r="AL309" s="5"/>
      <c r="AT309" s="5"/>
    </row>
    <row r="310" spans="6:46" x14ac:dyDescent="0.25">
      <c r="F310" s="5"/>
      <c r="N310" s="5"/>
      <c r="V310" s="5"/>
      <c r="AD310" s="5"/>
      <c r="AL310" s="5"/>
      <c r="AT310" s="5"/>
    </row>
    <row r="311" spans="6:46" x14ac:dyDescent="0.25">
      <c r="F311" s="5"/>
      <c r="N311" s="5"/>
      <c r="V311" s="5"/>
      <c r="AD311" s="5"/>
      <c r="AL311" s="5"/>
      <c r="AT311" s="5"/>
    </row>
    <row r="312" spans="6:46" x14ac:dyDescent="0.25">
      <c r="F312" s="5"/>
      <c r="N312" s="5"/>
      <c r="V312" s="5"/>
      <c r="AD312" s="5"/>
      <c r="AL312" s="5"/>
      <c r="AT312" s="5"/>
    </row>
    <row r="313" spans="6:46" x14ac:dyDescent="0.25">
      <c r="F313" s="5"/>
      <c r="N313" s="5"/>
      <c r="V313" s="5"/>
      <c r="AD313" s="5"/>
      <c r="AL313" s="5"/>
      <c r="AT313" s="5"/>
    </row>
    <row r="314" spans="6:46" x14ac:dyDescent="0.25">
      <c r="F314" s="5"/>
      <c r="N314" s="5"/>
      <c r="V314" s="5"/>
      <c r="AD314" s="5"/>
      <c r="AL314" s="5"/>
      <c r="AT314" s="5"/>
    </row>
    <row r="315" spans="6:46" x14ac:dyDescent="0.25">
      <c r="F315" s="5"/>
      <c r="N315" s="5"/>
      <c r="V315" s="5"/>
      <c r="AD315" s="5"/>
      <c r="AL315" s="5"/>
      <c r="AT315" s="5"/>
    </row>
    <row r="316" spans="6:46" x14ac:dyDescent="0.25">
      <c r="F316" s="5"/>
      <c r="N316" s="5"/>
      <c r="V316" s="5"/>
      <c r="AD316" s="5"/>
      <c r="AL316" s="5"/>
      <c r="AT316" s="5"/>
    </row>
    <row r="317" spans="6:46" x14ac:dyDescent="0.25">
      <c r="F317" s="5"/>
      <c r="N317" s="5"/>
      <c r="V317" s="5"/>
      <c r="AD317" s="5"/>
      <c r="AL317" s="5"/>
      <c r="AT317" s="5"/>
    </row>
    <row r="318" spans="6:46" x14ac:dyDescent="0.25">
      <c r="F318" s="5"/>
      <c r="N318" s="5"/>
      <c r="V318" s="5"/>
      <c r="AD318" s="5"/>
      <c r="AL318" s="5"/>
      <c r="AT318" s="5"/>
    </row>
    <row r="319" spans="6:46" x14ac:dyDescent="0.25">
      <c r="F319" s="5"/>
      <c r="N319" s="5"/>
      <c r="V319" s="5"/>
      <c r="AD319" s="5"/>
      <c r="AL319" s="5"/>
      <c r="AT319" s="5"/>
    </row>
    <row r="320" spans="6:46" x14ac:dyDescent="0.25">
      <c r="F320" s="5"/>
      <c r="N320" s="5"/>
      <c r="V320" s="5"/>
      <c r="AD320" s="5"/>
      <c r="AL320" s="5"/>
      <c r="AT320" s="5"/>
    </row>
    <row r="321" spans="6:46" x14ac:dyDescent="0.25">
      <c r="F321" s="5"/>
      <c r="N321" s="5"/>
      <c r="V321" s="5"/>
      <c r="AD321" s="5"/>
      <c r="AL321" s="5"/>
      <c r="AT321" s="5"/>
    </row>
    <row r="322" spans="6:46" x14ac:dyDescent="0.25">
      <c r="F322" s="5"/>
      <c r="N322" s="5"/>
      <c r="V322" s="5"/>
      <c r="AD322" s="5"/>
      <c r="AL322" s="5"/>
      <c r="AT322" s="5"/>
    </row>
    <row r="323" spans="6:46" x14ac:dyDescent="0.25">
      <c r="F323" s="5"/>
      <c r="N323" s="5"/>
      <c r="V323" s="5"/>
      <c r="AD323" s="5"/>
      <c r="AL323" s="5"/>
      <c r="AT323" s="5"/>
    </row>
    <row r="324" spans="6:46" x14ac:dyDescent="0.25">
      <c r="F324" s="5"/>
      <c r="N324" s="5"/>
      <c r="V324" s="5"/>
      <c r="AD324" s="5"/>
      <c r="AL324" s="5"/>
      <c r="AT324" s="5"/>
    </row>
    <row r="325" spans="6:46" x14ac:dyDescent="0.25">
      <c r="F325" s="5"/>
      <c r="N325" s="5"/>
      <c r="V325" s="5"/>
      <c r="AD325" s="5"/>
      <c r="AL325" s="5"/>
      <c r="AT325" s="5"/>
    </row>
    <row r="326" spans="6:46" x14ac:dyDescent="0.25">
      <c r="F326" s="5"/>
      <c r="N326" s="5"/>
      <c r="V326" s="5"/>
      <c r="AD326" s="5"/>
      <c r="AL326" s="5"/>
      <c r="AT326" s="5"/>
    </row>
    <row r="327" spans="6:46" x14ac:dyDescent="0.25">
      <c r="F327" s="5"/>
      <c r="N327" s="5"/>
      <c r="V327" s="5"/>
      <c r="AD327" s="5"/>
      <c r="AL327" s="5"/>
      <c r="AT327" s="5"/>
    </row>
    <row r="328" spans="6:46" x14ac:dyDescent="0.25">
      <c r="F328" s="5"/>
      <c r="N328" s="5"/>
      <c r="V328" s="5"/>
      <c r="AD328" s="5"/>
      <c r="AL328" s="5"/>
      <c r="AT328" s="5"/>
    </row>
    <row r="329" spans="6:46" x14ac:dyDescent="0.25">
      <c r="F329" s="5"/>
      <c r="N329" s="5"/>
      <c r="V329" s="5"/>
      <c r="AD329" s="5"/>
      <c r="AL329" s="5"/>
      <c r="AT329" s="5"/>
    </row>
    <row r="330" spans="6:46" x14ac:dyDescent="0.25">
      <c r="F330" s="5"/>
      <c r="N330" s="5"/>
      <c r="V330" s="5"/>
      <c r="AD330" s="5"/>
      <c r="AL330" s="5"/>
      <c r="AT330" s="5"/>
    </row>
    <row r="331" spans="6:46" x14ac:dyDescent="0.25">
      <c r="F331" s="5"/>
      <c r="N331" s="5"/>
      <c r="V331" s="5"/>
      <c r="AD331" s="5"/>
      <c r="AL331" s="5"/>
      <c r="AT331" s="5"/>
    </row>
    <row r="332" spans="6:46" x14ac:dyDescent="0.25">
      <c r="F332" s="5"/>
      <c r="N332" s="5"/>
      <c r="V332" s="5"/>
      <c r="AD332" s="5"/>
      <c r="AL332" s="5"/>
      <c r="AT332" s="5"/>
    </row>
    <row r="333" spans="6:46" x14ac:dyDescent="0.25">
      <c r="F333" s="5"/>
      <c r="N333" s="5"/>
      <c r="V333" s="5"/>
      <c r="AD333" s="5"/>
      <c r="AL333" s="5"/>
      <c r="AT333" s="5"/>
    </row>
    <row r="334" spans="6:46" x14ac:dyDescent="0.25">
      <c r="F334" s="5"/>
      <c r="N334" s="5"/>
      <c r="V334" s="5"/>
      <c r="AD334" s="5"/>
      <c r="AL334" s="5"/>
      <c r="AT334" s="5"/>
    </row>
    <row r="335" spans="6:46" x14ac:dyDescent="0.25">
      <c r="F335" s="5"/>
      <c r="N335" s="5"/>
      <c r="V335" s="5"/>
      <c r="AD335" s="5"/>
      <c r="AL335" s="5"/>
      <c r="AT335" s="5"/>
    </row>
    <row r="336" spans="6:46" x14ac:dyDescent="0.25">
      <c r="F336" s="5"/>
      <c r="N336" s="5"/>
      <c r="V336" s="5"/>
      <c r="AD336" s="5"/>
      <c r="AL336" s="5"/>
      <c r="AT336" s="5"/>
    </row>
    <row r="337" spans="6:46" x14ac:dyDescent="0.25">
      <c r="F337" s="5"/>
      <c r="N337" s="5"/>
      <c r="V337" s="5"/>
      <c r="AD337" s="5"/>
      <c r="AL337" s="5"/>
      <c r="AT337" s="5"/>
    </row>
    <row r="338" spans="6:46" x14ac:dyDescent="0.25">
      <c r="F338" s="5"/>
      <c r="N338" s="5"/>
      <c r="V338" s="5"/>
      <c r="AD338" s="5"/>
      <c r="AL338" s="5"/>
      <c r="AT338" s="5"/>
    </row>
    <row r="339" spans="6:46" x14ac:dyDescent="0.25">
      <c r="F339" s="5"/>
      <c r="N339" s="5"/>
      <c r="V339" s="5"/>
      <c r="AD339" s="5"/>
      <c r="AL339" s="5"/>
      <c r="AT339" s="5"/>
    </row>
    <row r="340" spans="6:46" x14ac:dyDescent="0.25">
      <c r="F340" s="5"/>
      <c r="N340" s="5"/>
      <c r="V340" s="5"/>
      <c r="AD340" s="5"/>
      <c r="AL340" s="5"/>
      <c r="AT340" s="5"/>
    </row>
    <row r="341" spans="6:46" x14ac:dyDescent="0.25">
      <c r="F341" s="5"/>
      <c r="N341" s="5"/>
      <c r="V341" s="5"/>
      <c r="AD341" s="5"/>
      <c r="AL341" s="5"/>
      <c r="AT341" s="5"/>
    </row>
    <row r="342" spans="6:46" x14ac:dyDescent="0.25">
      <c r="F342" s="5"/>
      <c r="N342" s="5"/>
      <c r="V342" s="5"/>
      <c r="AD342" s="5"/>
      <c r="AL342" s="5"/>
      <c r="AT342" s="5"/>
    </row>
    <row r="343" spans="6:46" x14ac:dyDescent="0.25">
      <c r="F343" s="5"/>
      <c r="N343" s="5"/>
      <c r="V343" s="5"/>
      <c r="AD343" s="5"/>
      <c r="AL343" s="5"/>
      <c r="AT343" s="5"/>
    </row>
  </sheetData>
  <mergeCells count="6">
    <mergeCell ref="B1:H1"/>
    <mergeCell ref="J1:P1"/>
    <mergeCell ref="AH1:AN1"/>
    <mergeCell ref="AP1:AV1"/>
    <mergeCell ref="R1:X1"/>
    <mergeCell ref="Z1:AF1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7237D-08F6-460F-A23B-8BD7AE49AF3B}">
  <dimension ref="A1:W11"/>
  <sheetViews>
    <sheetView zoomScale="80" zoomScaleNormal="80" workbookViewId="0">
      <selection activeCell="B38" sqref="B38"/>
    </sheetView>
  </sheetViews>
  <sheetFormatPr defaultRowHeight="15" x14ac:dyDescent="0.25"/>
  <cols>
    <col min="1" max="1" width="19.28515625" customWidth="1"/>
    <col min="2" max="2" width="30.7109375" customWidth="1"/>
    <col min="3" max="3" width="31.42578125" customWidth="1"/>
    <col min="4" max="4" width="15.5703125" customWidth="1"/>
    <col min="5" max="5" width="10.28515625" customWidth="1"/>
    <col min="7" max="7" width="15.7109375" customWidth="1"/>
    <col min="8" max="8" width="19.7109375" customWidth="1"/>
    <col min="9" max="9" width="15.28515625" style="2" customWidth="1"/>
    <col min="10" max="10" width="13.28515625" customWidth="1"/>
    <col min="12" max="12" width="13.85546875" customWidth="1"/>
    <col min="13" max="13" width="13.42578125" customWidth="1"/>
    <col min="14" max="14" width="20" customWidth="1"/>
    <col min="15" max="16" width="18.42578125" customWidth="1"/>
    <col min="17" max="17" width="16.85546875" customWidth="1"/>
    <col min="18" max="18" width="15.7109375" customWidth="1"/>
    <col min="19" max="19" width="17.5703125" customWidth="1"/>
    <col min="20" max="20" width="20.28515625" customWidth="1"/>
    <col min="21" max="21" width="15.7109375" customWidth="1"/>
    <col min="22" max="22" width="16.85546875" customWidth="1"/>
    <col min="23" max="23" width="19.7109375" customWidth="1"/>
  </cols>
  <sheetData>
    <row r="1" spans="1:23" ht="33" customHeight="1" x14ac:dyDescent="0.25">
      <c r="A1" s="41" t="s">
        <v>24</v>
      </c>
      <c r="B1" s="10" t="s">
        <v>106</v>
      </c>
      <c r="C1" s="10" t="s">
        <v>107</v>
      </c>
      <c r="D1" s="42" t="s">
        <v>99</v>
      </c>
      <c r="G1" s="48"/>
      <c r="H1" s="12"/>
      <c r="I1" s="34" t="s">
        <v>9</v>
      </c>
      <c r="J1" s="34" t="s">
        <v>8</v>
      </c>
      <c r="K1" s="34"/>
      <c r="L1" s="34" t="s">
        <v>10</v>
      </c>
      <c r="M1" s="34"/>
      <c r="N1" s="34" t="s">
        <v>20</v>
      </c>
      <c r="O1" s="34" t="s">
        <v>39</v>
      </c>
      <c r="P1" s="34" t="s">
        <v>100</v>
      </c>
      <c r="Q1" s="34" t="s">
        <v>21</v>
      </c>
      <c r="R1" s="34" t="s">
        <v>21</v>
      </c>
      <c r="S1" s="34" t="s">
        <v>40</v>
      </c>
      <c r="T1" s="34" t="s">
        <v>40</v>
      </c>
      <c r="U1" s="34" t="s">
        <v>102</v>
      </c>
      <c r="V1" s="34" t="s">
        <v>105</v>
      </c>
      <c r="W1" s="34" t="s">
        <v>104</v>
      </c>
    </row>
    <row r="2" spans="1:23" ht="16.5" customHeight="1" x14ac:dyDescent="0.25">
      <c r="A2" s="43" t="s">
        <v>84</v>
      </c>
      <c r="B2" s="66">
        <v>24.541694644015976</v>
      </c>
      <c r="C2" s="20">
        <v>27.758417733015182</v>
      </c>
      <c r="D2" s="44">
        <f>((C2-B2)/B2)*100</f>
        <v>13.107175912905195</v>
      </c>
      <c r="G2" s="49"/>
      <c r="H2" s="16"/>
      <c r="I2" s="56"/>
      <c r="J2" s="57" t="s">
        <v>11</v>
      </c>
      <c r="K2" s="58" t="s">
        <v>12</v>
      </c>
      <c r="L2" s="59" t="s">
        <v>11</v>
      </c>
      <c r="M2" s="59" t="s">
        <v>12</v>
      </c>
      <c r="N2" s="59" t="s">
        <v>13</v>
      </c>
      <c r="O2" s="59" t="s">
        <v>13</v>
      </c>
      <c r="P2" s="59" t="s">
        <v>101</v>
      </c>
      <c r="Q2" s="59" t="s">
        <v>37</v>
      </c>
      <c r="R2" s="59" t="s">
        <v>38</v>
      </c>
      <c r="S2" s="59" t="s">
        <v>37</v>
      </c>
      <c r="T2" s="59" t="s">
        <v>38</v>
      </c>
      <c r="U2" s="59" t="s">
        <v>103</v>
      </c>
      <c r="V2" s="59" t="s">
        <v>103</v>
      </c>
      <c r="W2" s="59" t="s">
        <v>103</v>
      </c>
    </row>
    <row r="3" spans="1:23" x14ac:dyDescent="0.25">
      <c r="A3" s="43" t="s">
        <v>85</v>
      </c>
      <c r="B3" s="66">
        <v>21.582402947181521</v>
      </c>
      <c r="C3" s="20">
        <v>31.692159570861271</v>
      </c>
      <c r="D3" s="44">
        <f t="shared" ref="D3:D4" si="0">((C3-B3)/B3)*100</f>
        <v>46.842590458631015</v>
      </c>
      <c r="G3" s="49"/>
      <c r="H3" s="16"/>
      <c r="I3" s="59">
        <v>1</v>
      </c>
      <c r="J3" s="59">
        <v>15.900399999999999</v>
      </c>
      <c r="K3" s="59">
        <v>6.26</v>
      </c>
      <c r="L3" s="59">
        <v>2.5019</v>
      </c>
      <c r="M3" s="59">
        <v>0.98499999999999999</v>
      </c>
      <c r="N3" s="59">
        <v>195.55699999999999</v>
      </c>
      <c r="O3" s="59">
        <v>221.18899999999999</v>
      </c>
      <c r="P3" s="59">
        <f>(((PI()*(L3/2)^2)*J3))</f>
        <v>78.169588442327409</v>
      </c>
      <c r="Q3" s="65">
        <f>(N3/P3)</f>
        <v>2.5017017985745134</v>
      </c>
      <c r="R3" s="61">
        <f>Q3*1000</f>
        <v>2501.7017985745133</v>
      </c>
      <c r="S3" s="57">
        <f>(O3/P3)</f>
        <v>2.829604254129988</v>
      </c>
      <c r="T3" s="61">
        <f>S3*1000</f>
        <v>2829.604254129988</v>
      </c>
      <c r="U3" s="57">
        <f>(R3*9.81)/1000</f>
        <v>24.541694644015976</v>
      </c>
      <c r="V3" s="57">
        <f>(T3*9.81)/1000</f>
        <v>27.758417733015182</v>
      </c>
      <c r="W3" s="57">
        <f>V3-U3</f>
        <v>3.2167230889992062</v>
      </c>
    </row>
    <row r="4" spans="1:23" x14ac:dyDescent="0.25">
      <c r="A4" s="43" t="s">
        <v>86</v>
      </c>
      <c r="B4" s="66">
        <v>27.958205888005434</v>
      </c>
      <c r="C4" s="20">
        <v>39.550458527309523</v>
      </c>
      <c r="D4" s="44">
        <f t="shared" si="0"/>
        <v>41.462791588774195</v>
      </c>
      <c r="G4" s="49"/>
      <c r="H4" s="16"/>
      <c r="I4" s="56">
        <v>2</v>
      </c>
      <c r="J4" s="57">
        <v>13.639800000000001</v>
      </c>
      <c r="K4" s="61">
        <v>5.37</v>
      </c>
      <c r="L4" s="59">
        <v>2.5019</v>
      </c>
      <c r="M4" s="59">
        <v>0.98499999999999999</v>
      </c>
      <c r="N4" s="59">
        <v>147.52600000000001</v>
      </c>
      <c r="O4" s="59">
        <v>216.631</v>
      </c>
      <c r="P4" s="59">
        <f t="shared" ref="P4:P5" si="1">(((PI()*(L4/2)^2)*J4))</f>
        <v>67.05602075643742</v>
      </c>
      <c r="Q4" s="65">
        <f t="shared" ref="Q4" si="2">(N4/P4)</f>
        <v>2.2000410751459243</v>
      </c>
      <c r="R4" s="61">
        <f>Q4*1000</f>
        <v>2200.0410751459244</v>
      </c>
      <c r="S4" s="57">
        <f t="shared" ref="S4:S5" si="3">(O4/P4)</f>
        <v>3.2305973058981925</v>
      </c>
      <c r="T4" s="61">
        <f t="shared" ref="T4:T5" si="4">S4*1000</f>
        <v>3230.5973058981926</v>
      </c>
      <c r="U4" s="57">
        <f t="shared" ref="U4:U5" si="5">(R4*9.81)/1000</f>
        <v>21.582402947181521</v>
      </c>
      <c r="V4" s="57">
        <f t="shared" ref="V4:V5" si="6">(T4*9.81)/1000</f>
        <v>31.692159570861271</v>
      </c>
      <c r="W4" s="57">
        <f t="shared" ref="W4:W5" si="7">V4-U4</f>
        <v>10.10975662367975</v>
      </c>
    </row>
    <row r="5" spans="1:23" x14ac:dyDescent="0.25">
      <c r="G5" s="12"/>
      <c r="H5" s="16"/>
      <c r="I5" s="56">
        <v>3</v>
      </c>
      <c r="J5" s="59">
        <v>12.2936</v>
      </c>
      <c r="K5" s="59">
        <v>4.84</v>
      </c>
      <c r="L5" s="59">
        <v>2.5019</v>
      </c>
      <c r="M5" s="59">
        <v>0.98499999999999999</v>
      </c>
      <c r="N5" s="59">
        <v>192.24600000000001</v>
      </c>
      <c r="O5" s="59">
        <v>233.66399999999999</v>
      </c>
      <c r="P5" s="59">
        <f t="shared" si="1"/>
        <v>60.437828763716404</v>
      </c>
      <c r="Q5" s="65">
        <f>(N5/P5)</f>
        <v>3.1808885913422174</v>
      </c>
      <c r="R5" s="61">
        <f>Q5*1000</f>
        <v>3180.8885913422173</v>
      </c>
      <c r="S5" s="57">
        <f t="shared" si="3"/>
        <v>3.8661878624646953</v>
      </c>
      <c r="T5" s="61">
        <f t="shared" si="4"/>
        <v>3866.1878624646952</v>
      </c>
      <c r="U5" s="57">
        <f t="shared" si="5"/>
        <v>31.204517081067152</v>
      </c>
      <c r="V5" s="57">
        <f t="shared" si="6"/>
        <v>37.927302930778666</v>
      </c>
      <c r="W5" s="57">
        <f t="shared" si="7"/>
        <v>6.7227858497115136</v>
      </c>
    </row>
    <row r="11" spans="1:23" x14ac:dyDescent="0.25">
      <c r="H11">
        <v>5</v>
      </c>
    </row>
  </sheetData>
  <phoneticPr fontId="24" type="noConversion"/>
  <pageMargins left="0.7" right="0.7" top="0.75" bottom="0.75" header="0.3" footer="0.3"/>
  <pageSetup paperSize="9" orientation="portrait" r:id="rId1"/>
  <ignoredErrors>
    <ignoredError sqref="S3:S5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A9A19-9820-4A38-AAC9-B49CD589D490}">
  <dimension ref="A1:AG29"/>
  <sheetViews>
    <sheetView tabSelected="1" topLeftCell="U1" zoomScale="80" zoomScaleNormal="80" workbookViewId="0">
      <selection activeCell="AA46" sqref="AA46"/>
    </sheetView>
  </sheetViews>
  <sheetFormatPr defaultRowHeight="15" x14ac:dyDescent="0.25"/>
  <cols>
    <col min="4" max="4" width="18.7109375" customWidth="1"/>
    <col min="5" max="5" width="19" customWidth="1"/>
    <col min="6" max="6" width="19.140625" customWidth="1"/>
    <col min="7" max="7" width="17.85546875" customWidth="1"/>
    <col min="8" max="8" width="13.140625" customWidth="1"/>
    <col min="11" max="11" width="16.7109375" customWidth="1"/>
    <col min="12" max="12" width="12.5703125" customWidth="1"/>
    <col min="13" max="13" width="21.5703125" customWidth="1"/>
    <col min="14" max="14" width="13.28515625" customWidth="1"/>
    <col min="15" max="15" width="11.28515625" customWidth="1"/>
    <col min="18" max="18" width="19.28515625" customWidth="1"/>
    <col min="19" max="19" width="12.5703125" customWidth="1"/>
    <col min="20" max="20" width="15.5703125" customWidth="1"/>
    <col min="21" max="21" width="16" customWidth="1"/>
    <col min="22" max="22" width="19.28515625" customWidth="1"/>
    <col min="23" max="23" width="17.85546875" customWidth="1"/>
    <col min="24" max="24" width="15.28515625" customWidth="1"/>
    <col min="30" max="30" width="23.7109375" customWidth="1"/>
    <col min="31" max="31" width="22.85546875" customWidth="1"/>
    <col min="32" max="32" width="16.7109375" customWidth="1"/>
  </cols>
  <sheetData>
    <row r="1" spans="1:33" x14ac:dyDescent="0.25">
      <c r="A1" s="1" t="s">
        <v>41</v>
      </c>
      <c r="E1" s="72" t="s">
        <v>61</v>
      </c>
      <c r="F1" s="73"/>
      <c r="G1" s="73"/>
      <c r="H1" s="54"/>
      <c r="K1" s="40"/>
      <c r="L1" s="72" t="s">
        <v>42</v>
      </c>
      <c r="M1" s="73"/>
      <c r="N1" s="74"/>
      <c r="O1" s="54"/>
      <c r="V1" s="72" t="s">
        <v>64</v>
      </c>
      <c r="W1" s="73"/>
      <c r="X1" s="74"/>
      <c r="AD1" s="72" t="s">
        <v>57</v>
      </c>
      <c r="AE1" s="73"/>
      <c r="AF1" s="74"/>
    </row>
    <row r="2" spans="1:33" ht="42.75" customHeight="1" x14ac:dyDescent="0.25">
      <c r="D2" s="21"/>
      <c r="E2" s="10" t="s">
        <v>45</v>
      </c>
      <c r="F2" s="10" t="s">
        <v>46</v>
      </c>
      <c r="G2" s="10" t="s">
        <v>47</v>
      </c>
      <c r="H2" s="52"/>
      <c r="K2" s="21"/>
      <c r="L2" s="10" t="s">
        <v>54</v>
      </c>
      <c r="M2" s="10" t="s">
        <v>55</v>
      </c>
      <c r="N2" s="10" t="s">
        <v>56</v>
      </c>
      <c r="O2" s="52"/>
      <c r="U2" s="21"/>
      <c r="V2" s="10" t="s">
        <v>62</v>
      </c>
      <c r="W2" s="10" t="s">
        <v>63</v>
      </c>
      <c r="X2" s="10" t="s">
        <v>108</v>
      </c>
      <c r="AC2" s="21"/>
      <c r="AD2" s="10" t="s">
        <v>58</v>
      </c>
      <c r="AE2" s="10" t="s">
        <v>59</v>
      </c>
      <c r="AF2" s="10" t="s">
        <v>60</v>
      </c>
    </row>
    <row r="3" spans="1:33" x14ac:dyDescent="0.25">
      <c r="D3" s="33" t="s">
        <v>84</v>
      </c>
      <c r="E3" s="45">
        <f>UCS!$O$27</f>
        <v>77.378003333333311</v>
      </c>
      <c r="F3" s="45">
        <f>UCS!$O$30</f>
        <v>157.63703333333328</v>
      </c>
      <c r="G3" s="45">
        <f>((F3-E3)/E3)*100</f>
        <v>103.72331482146883</v>
      </c>
      <c r="H3" s="53"/>
      <c r="K3" s="33" t="s">
        <v>84</v>
      </c>
      <c r="L3" s="45">
        <f>'v-Modulus'!AH14</f>
        <v>0.32177100000000003</v>
      </c>
      <c r="M3" s="45">
        <f>'v-Modulus'!AH17</f>
        <v>0.19841549999999999</v>
      </c>
      <c r="N3" s="45">
        <f>((M3-L3)/L3)*100</f>
        <v>-38.336425594599895</v>
      </c>
      <c r="O3" s="55"/>
      <c r="U3" s="33" t="s">
        <v>84</v>
      </c>
      <c r="V3" s="45">
        <f>'v-Modulus'!AJ14</f>
        <v>14.582446781232219</v>
      </c>
      <c r="W3" s="45">
        <f>'v-Modulus'!AJ17</f>
        <v>59.730408116605332</v>
      </c>
      <c r="X3" s="45">
        <f>((W3-V3)/V3)*100</f>
        <v>309.60484212758502</v>
      </c>
      <c r="AC3" s="33" t="s">
        <v>84</v>
      </c>
      <c r="AD3" s="45">
        <f>Ks!$AZ$19</f>
        <v>2.7791111111111113</v>
      </c>
      <c r="AE3" s="45">
        <f>Ks!$AZ$22</f>
        <v>8.6038253968253944</v>
      </c>
      <c r="AF3" s="45">
        <f>((AE3-AD3)/AD3)*100</f>
        <v>209.58911151218831</v>
      </c>
    </row>
    <row r="4" spans="1:33" x14ac:dyDescent="0.25">
      <c r="D4" s="33" t="s">
        <v>85</v>
      </c>
      <c r="E4" s="45">
        <f>UCS!$O$28</f>
        <v>75.966222033898305</v>
      </c>
      <c r="F4" s="45">
        <f>UCS!$O$31</f>
        <v>97.028567796610162</v>
      </c>
      <c r="G4" s="45">
        <f>((F4-E4)/E4)*100</f>
        <v>27.725935552400166</v>
      </c>
      <c r="H4" s="53"/>
      <c r="K4" s="33" t="s">
        <v>85</v>
      </c>
      <c r="L4" s="45">
        <f>'v-Modulus'!AH15</f>
        <v>0.32480699999999996</v>
      </c>
      <c r="M4" s="45">
        <f>'v-Modulus'!AH18</f>
        <v>0.2338865</v>
      </c>
      <c r="N4" s="45">
        <f>((M4-L4)/L4)*100</f>
        <v>-27.992161498982465</v>
      </c>
      <c r="O4" s="55"/>
      <c r="U4" s="33" t="s">
        <v>85</v>
      </c>
      <c r="V4" s="45">
        <f>'v-Modulus'!AJ15</f>
        <v>16.894921232890191</v>
      </c>
      <c r="W4" s="45">
        <f>'v-Modulus'!AJ18</f>
        <v>51.904241612234614</v>
      </c>
      <c r="X4" s="45">
        <f>((W4-V4)/V4)*100</f>
        <v>207.21801479127362</v>
      </c>
      <c r="AC4" s="33" t="s">
        <v>85</v>
      </c>
      <c r="AD4" s="45">
        <f>Ks!$AZ$20</f>
        <v>2.2152655737704916</v>
      </c>
      <c r="AE4" s="45">
        <f>Ks!$AZ$23</f>
        <v>8.1719344262295106</v>
      </c>
      <c r="AF4" s="45">
        <f>((AE4-AD4)/AD4)*100</f>
        <v>268.89186213102539</v>
      </c>
    </row>
    <row r="5" spans="1:33" x14ac:dyDescent="0.25">
      <c r="D5" s="33" t="s">
        <v>86</v>
      </c>
      <c r="E5" s="45">
        <f>UCS!$O$29</f>
        <v>78.920306382978751</v>
      </c>
      <c r="F5" s="45">
        <f>UCS!$O$32</f>
        <v>165.19789361702126</v>
      </c>
      <c r="G5" s="45">
        <f t="shared" ref="G5" si="0">((F5-E5)/E5)*100</f>
        <v>109.32241800400632</v>
      </c>
      <c r="H5" s="53"/>
      <c r="I5" s="46"/>
      <c r="J5" s="47"/>
      <c r="K5" s="33" t="s">
        <v>86</v>
      </c>
      <c r="L5" s="45">
        <f>'v-Modulus'!AH16</f>
        <v>0.30371000000000004</v>
      </c>
      <c r="M5" s="45">
        <f>'v-Modulus'!AH19</f>
        <v>0.16889500000000002</v>
      </c>
      <c r="N5" s="45">
        <f t="shared" ref="N5" si="1">((M5-L5)/L5)*100</f>
        <v>-44.389384610319055</v>
      </c>
      <c r="O5" s="55"/>
      <c r="U5" s="33" t="s">
        <v>86</v>
      </c>
      <c r="V5" s="45">
        <f>'v-Modulus'!AJ16</f>
        <v>16.637979726034043</v>
      </c>
      <c r="W5" s="45">
        <f>'v-Modulus'!AJ19</f>
        <v>90.108568615707071</v>
      </c>
      <c r="X5" s="45">
        <f t="shared" ref="X5" si="2">((W5-V5)/V5)*100</f>
        <v>441.58359427924393</v>
      </c>
      <c r="AC5" s="33" t="s">
        <v>86</v>
      </c>
      <c r="AD5" s="45">
        <f>Ks!$AZ$21</f>
        <v>2.8295833333333338</v>
      </c>
      <c r="AE5" s="45">
        <f>Ks!$AZ$24</f>
        <v>8.2030416666666692</v>
      </c>
      <c r="AF5" s="45">
        <f t="shared" ref="AF5" si="3">((AE5-AD5)/AD5)*100</f>
        <v>189.90281254601683</v>
      </c>
    </row>
    <row r="8" spans="1:33" x14ac:dyDescent="0.25">
      <c r="D8" t="s">
        <v>71</v>
      </c>
      <c r="W8" t="s">
        <v>69</v>
      </c>
      <c r="AG8" t="s">
        <v>68</v>
      </c>
    </row>
    <row r="9" spans="1:33" x14ac:dyDescent="0.25">
      <c r="N9" t="s">
        <v>70</v>
      </c>
    </row>
    <row r="14" spans="1:33" s="19" customFormat="1" ht="54.75" customHeight="1" x14ac:dyDescent="0.25"/>
    <row r="29" spans="4:9" x14ac:dyDescent="0.25">
      <c r="D29" t="s">
        <v>43</v>
      </c>
      <c r="I29" t="s">
        <v>44</v>
      </c>
    </row>
  </sheetData>
  <mergeCells count="4">
    <mergeCell ref="AD1:AF1"/>
    <mergeCell ref="V1:X1"/>
    <mergeCell ref="E1:G1"/>
    <mergeCell ref="L1:N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v-Modulus</vt:lpstr>
      <vt:lpstr>UCS</vt:lpstr>
      <vt:lpstr>Ks</vt:lpstr>
      <vt:lpstr>%Weight</vt:lpstr>
      <vt:lpstr>Statistical Analyses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Kolawole, Doyin</dc:creator>
  <cp:lastModifiedBy>Kolawole, Oladoyin</cp:lastModifiedBy>
  <dcterms:created xsi:type="dcterms:W3CDTF">2020-07-13T22:17:25Z</dcterms:created>
  <dcterms:modified xsi:type="dcterms:W3CDTF">2025-06-20T18:26:43Z</dcterms:modified>
</cp:coreProperties>
</file>