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yin\Downloads\"/>
    </mc:Choice>
  </mc:AlternateContent>
  <xr:revisionPtr revIDLastSave="0" documentId="13_ncr:1_{BC13AB81-A2CD-4AEF-8A8D-9FEB78948068}" xr6:coauthVersionLast="47" xr6:coauthVersionMax="47" xr10:uidLastSave="{00000000-0000-0000-0000-000000000000}"/>
  <workbookProtection workbookAlgorithmName="SHA-512" workbookHashValue="4dUDTfdaS6YvlKbhwLFGMwOvoQzUYLR0yfJwE93AtohLXEwlsnqrnwswf8VnwqLBjKuyZCjbiZwRJ73pTxxegw==" workbookSaltValue="n3KT69ThghAOAgbACA3DoQ==" workbookSpinCount="100000" lockStructure="1"/>
  <bookViews>
    <workbookView xWindow="19090" yWindow="-4800" windowWidth="38620" windowHeight="21100" activeTab="1" xr2:uid="{637F8453-62C7-4331-AF21-5473B980FDDB}"/>
  </bookViews>
  <sheets>
    <sheet name="Sheet1" sheetId="56" r:id="rId1"/>
    <sheet name="All plots - Sandy" sheetId="49" r:id="rId2"/>
    <sheet name="DI" sheetId="46" r:id="rId3"/>
    <sheet name="15g_L Brine" sheetId="47" r:id="rId4"/>
    <sheet name="30g_L Brine" sheetId="48" r:id="rId5"/>
    <sheet name="All plots - Silt Clay" sheetId="51" r:id="rId6"/>
    <sheet name="DI (2)" sheetId="52" r:id="rId7"/>
    <sheet name="15g_L Brine (2)" sheetId="53" r:id="rId8"/>
    <sheet name="30g_L Brine (2)" sheetId="54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54" l="1"/>
  <c r="K28" i="54" s="1"/>
  <c r="L28" i="54" s="1"/>
  <c r="J27" i="54"/>
  <c r="K27" i="54" s="1"/>
  <c r="L27" i="54" s="1"/>
  <c r="J26" i="54"/>
  <c r="K26" i="54" s="1"/>
  <c r="L26" i="54" s="1"/>
  <c r="K25" i="54"/>
  <c r="L25" i="54" s="1"/>
  <c r="J25" i="54"/>
  <c r="J24" i="54"/>
  <c r="K24" i="54" s="1"/>
  <c r="L24" i="54" s="1"/>
  <c r="J23" i="54"/>
  <c r="K23" i="54" s="1"/>
  <c r="L23" i="54" s="1"/>
  <c r="F19" i="54"/>
  <c r="F18" i="54"/>
  <c r="A18" i="54"/>
  <c r="F17" i="54"/>
  <c r="A17" i="54"/>
  <c r="F16" i="54"/>
  <c r="A16" i="54"/>
  <c r="F15" i="54"/>
  <c r="A15" i="54"/>
  <c r="F14" i="54"/>
  <c r="A14" i="54"/>
  <c r="Q7" i="54"/>
  <c r="L7" i="54"/>
  <c r="L8" i="54" s="1"/>
  <c r="H6" i="54"/>
  <c r="H7" i="54" s="1"/>
  <c r="B18" i="54" s="1"/>
  <c r="E6" i="54"/>
  <c r="A19" i="54" s="1"/>
  <c r="B6" i="54"/>
  <c r="J28" i="53"/>
  <c r="K28" i="53" s="1"/>
  <c r="L28" i="53" s="1"/>
  <c r="J27" i="53"/>
  <c r="K27" i="53" s="1"/>
  <c r="L27" i="53" s="1"/>
  <c r="J26" i="53"/>
  <c r="K26" i="53" s="1"/>
  <c r="L26" i="53" s="1"/>
  <c r="J25" i="53"/>
  <c r="K25" i="53" s="1"/>
  <c r="L25" i="53" s="1"/>
  <c r="J24" i="53"/>
  <c r="K24" i="53" s="1"/>
  <c r="L24" i="53" s="1"/>
  <c r="J23" i="53"/>
  <c r="K23" i="53" s="1"/>
  <c r="L23" i="53" s="1"/>
  <c r="F19" i="53"/>
  <c r="F18" i="53"/>
  <c r="A18" i="53"/>
  <c r="F17" i="53"/>
  <c r="A17" i="53"/>
  <c r="F16" i="53"/>
  <c r="A16" i="53"/>
  <c r="F15" i="53"/>
  <c r="A15" i="53"/>
  <c r="F14" i="53"/>
  <c r="A14" i="53"/>
  <c r="Q7" i="53"/>
  <c r="L7" i="53"/>
  <c r="L8" i="53" s="1"/>
  <c r="H6" i="53"/>
  <c r="H7" i="53" s="1"/>
  <c r="E6" i="53"/>
  <c r="A19" i="53" s="1"/>
  <c r="B6" i="53"/>
  <c r="B19" i="53" s="1"/>
  <c r="J28" i="52"/>
  <c r="K28" i="52" s="1"/>
  <c r="L28" i="52" s="1"/>
  <c r="J27" i="52"/>
  <c r="K27" i="52" s="1"/>
  <c r="L27" i="52" s="1"/>
  <c r="J26" i="52"/>
  <c r="K26" i="52" s="1"/>
  <c r="L26" i="52" s="1"/>
  <c r="K25" i="52"/>
  <c r="L25" i="52" s="1"/>
  <c r="J25" i="52"/>
  <c r="J24" i="52"/>
  <c r="K24" i="52" s="1"/>
  <c r="L24" i="52" s="1"/>
  <c r="J23" i="52"/>
  <c r="K23" i="52" s="1"/>
  <c r="L23" i="52" s="1"/>
  <c r="F19" i="52"/>
  <c r="A19" i="52"/>
  <c r="F18" i="52"/>
  <c r="A18" i="52"/>
  <c r="F17" i="52"/>
  <c r="A17" i="52"/>
  <c r="F16" i="52"/>
  <c r="A16" i="52"/>
  <c r="F15" i="52"/>
  <c r="A15" i="52"/>
  <c r="F14" i="52"/>
  <c r="A14" i="52"/>
  <c r="Q7" i="52"/>
  <c r="L7" i="52"/>
  <c r="L8" i="52" s="1"/>
  <c r="H7" i="52"/>
  <c r="B16" i="52" s="1"/>
  <c r="H6" i="52"/>
  <c r="E6" i="52"/>
  <c r="B6" i="52"/>
  <c r="J28" i="51"/>
  <c r="K28" i="51" s="1"/>
  <c r="L28" i="51" s="1"/>
  <c r="J27" i="51"/>
  <c r="K27" i="51" s="1"/>
  <c r="L27" i="51" s="1"/>
  <c r="K26" i="51"/>
  <c r="L26" i="51" s="1"/>
  <c r="J26" i="51"/>
  <c r="J25" i="51"/>
  <c r="K25" i="51" s="1"/>
  <c r="L25" i="51" s="1"/>
  <c r="J24" i="51"/>
  <c r="K24" i="51" s="1"/>
  <c r="L24" i="51" s="1"/>
  <c r="J23" i="51"/>
  <c r="K23" i="51" s="1"/>
  <c r="L23" i="51" s="1"/>
  <c r="F19" i="51"/>
  <c r="A19" i="51"/>
  <c r="F18" i="51"/>
  <c r="A18" i="51"/>
  <c r="F17" i="51"/>
  <c r="A17" i="51"/>
  <c r="F16" i="51"/>
  <c r="A16" i="51"/>
  <c r="F15" i="51"/>
  <c r="A15" i="51"/>
  <c r="F14" i="51"/>
  <c r="A14" i="51"/>
  <c r="Q7" i="51"/>
  <c r="L7" i="51"/>
  <c r="L8" i="51" s="1"/>
  <c r="H6" i="51"/>
  <c r="H7" i="51" s="1"/>
  <c r="E6" i="51"/>
  <c r="B6" i="51"/>
  <c r="B14" i="51" s="1"/>
  <c r="B19" i="54" l="1"/>
  <c r="C18" i="54"/>
  <c r="K18" i="54"/>
  <c r="L18" i="54" s="1"/>
  <c r="M18" i="54" s="1"/>
  <c r="N18" i="54" s="1"/>
  <c r="O18" i="54" s="1"/>
  <c r="P18" i="54" s="1"/>
  <c r="D18" i="54"/>
  <c r="C14" i="54"/>
  <c r="C15" i="54"/>
  <c r="H15" i="54" s="1"/>
  <c r="C16" i="54"/>
  <c r="H16" i="54" s="1"/>
  <c r="C17" i="54"/>
  <c r="H17" i="54" s="1"/>
  <c r="B16" i="54"/>
  <c r="B14" i="54"/>
  <c r="B17" i="54"/>
  <c r="B15" i="54"/>
  <c r="K19" i="53"/>
  <c r="L19" i="53" s="1"/>
  <c r="M19" i="53" s="1"/>
  <c r="N19" i="53" s="1"/>
  <c r="O19" i="53" s="1"/>
  <c r="P19" i="53" s="1"/>
  <c r="C19" i="53"/>
  <c r="B17" i="53"/>
  <c r="B15" i="53"/>
  <c r="B18" i="53"/>
  <c r="B16" i="53"/>
  <c r="B14" i="53"/>
  <c r="K16" i="52"/>
  <c r="L16" i="52" s="1"/>
  <c r="M16" i="52" s="1"/>
  <c r="N16" i="52" s="1"/>
  <c r="O16" i="52" s="1"/>
  <c r="P16" i="52" s="1"/>
  <c r="C16" i="52"/>
  <c r="B14" i="52"/>
  <c r="B17" i="52"/>
  <c r="B19" i="52"/>
  <c r="B15" i="52"/>
  <c r="B18" i="52"/>
  <c r="C18" i="51"/>
  <c r="K14" i="51"/>
  <c r="L14" i="51" s="1"/>
  <c r="M14" i="51" s="1"/>
  <c r="N14" i="51" s="1"/>
  <c r="O14" i="51" s="1"/>
  <c r="P14" i="51" s="1"/>
  <c r="C14" i="51"/>
  <c r="D14" i="51"/>
  <c r="C15" i="51"/>
  <c r="H15" i="51" s="1"/>
  <c r="B16" i="51"/>
  <c r="C17" i="51"/>
  <c r="C16" i="51"/>
  <c r="H16" i="51" s="1"/>
  <c r="B19" i="51"/>
  <c r="B17" i="51"/>
  <c r="B15" i="51"/>
  <c r="B18" i="51"/>
  <c r="H18" i="54" l="1"/>
  <c r="K19" i="54"/>
  <c r="L19" i="54" s="1"/>
  <c r="M19" i="54" s="1"/>
  <c r="N19" i="54" s="1"/>
  <c r="O19" i="54" s="1"/>
  <c r="P19" i="54" s="1"/>
  <c r="C19" i="54"/>
  <c r="H19" i="54" s="1"/>
  <c r="K15" i="54"/>
  <c r="L15" i="54" s="1"/>
  <c r="M15" i="54" s="1"/>
  <c r="N15" i="54" s="1"/>
  <c r="O15" i="54" s="1"/>
  <c r="P15" i="54" s="1"/>
  <c r="D15" i="54"/>
  <c r="K17" i="54"/>
  <c r="L17" i="54" s="1"/>
  <c r="M17" i="54" s="1"/>
  <c r="N17" i="54" s="1"/>
  <c r="O17" i="54" s="1"/>
  <c r="P17" i="54" s="1"/>
  <c r="D17" i="54"/>
  <c r="K14" i="54"/>
  <c r="L14" i="54" s="1"/>
  <c r="M14" i="54" s="1"/>
  <c r="N14" i="54" s="1"/>
  <c r="O14" i="54" s="1"/>
  <c r="P14" i="54" s="1"/>
  <c r="D14" i="54"/>
  <c r="K16" i="54"/>
  <c r="L16" i="54" s="1"/>
  <c r="M16" i="54" s="1"/>
  <c r="N16" i="54" s="1"/>
  <c r="O16" i="54" s="1"/>
  <c r="P16" i="54" s="1"/>
  <c r="D16" i="54"/>
  <c r="D14" i="53"/>
  <c r="K14" i="53"/>
  <c r="L14" i="53" s="1"/>
  <c r="M14" i="53" s="1"/>
  <c r="N14" i="53" s="1"/>
  <c r="O14" i="53" s="1"/>
  <c r="P14" i="53" s="1"/>
  <c r="K16" i="53"/>
  <c r="L16" i="53" s="1"/>
  <c r="M16" i="53" s="1"/>
  <c r="N16" i="53" s="1"/>
  <c r="O16" i="53" s="1"/>
  <c r="P16" i="53" s="1"/>
  <c r="D16" i="53"/>
  <c r="K18" i="53"/>
  <c r="L18" i="53" s="1"/>
  <c r="M18" i="53" s="1"/>
  <c r="N18" i="53" s="1"/>
  <c r="O18" i="53" s="1"/>
  <c r="P18" i="53" s="1"/>
  <c r="D18" i="53"/>
  <c r="K15" i="53"/>
  <c r="L15" i="53" s="1"/>
  <c r="M15" i="53" s="1"/>
  <c r="N15" i="53" s="1"/>
  <c r="O15" i="53" s="1"/>
  <c r="P15" i="53" s="1"/>
  <c r="D15" i="53"/>
  <c r="K17" i="53"/>
  <c r="L17" i="53" s="1"/>
  <c r="M17" i="53" s="1"/>
  <c r="N17" i="53" s="1"/>
  <c r="O17" i="53" s="1"/>
  <c r="P17" i="53" s="1"/>
  <c r="C18" i="53"/>
  <c r="C17" i="53"/>
  <c r="C16" i="53"/>
  <c r="C15" i="53"/>
  <c r="H15" i="53" s="1"/>
  <c r="C14" i="53"/>
  <c r="H19" i="53"/>
  <c r="D19" i="53"/>
  <c r="K18" i="52"/>
  <c r="L18" i="52" s="1"/>
  <c r="M18" i="52" s="1"/>
  <c r="N18" i="52" s="1"/>
  <c r="O18" i="52" s="1"/>
  <c r="P18" i="52" s="1"/>
  <c r="K15" i="52"/>
  <c r="L15" i="52" s="1"/>
  <c r="M15" i="52" s="1"/>
  <c r="N15" i="52" s="1"/>
  <c r="O15" i="52" s="1"/>
  <c r="P15" i="52" s="1"/>
  <c r="K19" i="52"/>
  <c r="L19" i="52" s="1"/>
  <c r="M19" i="52" s="1"/>
  <c r="N19" i="52" s="1"/>
  <c r="O19" i="52" s="1"/>
  <c r="P19" i="52" s="1"/>
  <c r="K17" i="52"/>
  <c r="L17" i="52" s="1"/>
  <c r="M17" i="52" s="1"/>
  <c r="N17" i="52" s="1"/>
  <c r="O17" i="52" s="1"/>
  <c r="P17" i="52" s="1"/>
  <c r="K14" i="52"/>
  <c r="L14" i="52" s="1"/>
  <c r="M14" i="52" s="1"/>
  <c r="N14" i="52" s="1"/>
  <c r="O14" i="52" s="1"/>
  <c r="P14" i="52" s="1"/>
  <c r="C18" i="52"/>
  <c r="C17" i="52"/>
  <c r="H17" i="52" s="1"/>
  <c r="C15" i="52"/>
  <c r="H15" i="52" s="1"/>
  <c r="C14" i="52"/>
  <c r="D14" i="52" s="1"/>
  <c r="H16" i="52"/>
  <c r="D16" i="52"/>
  <c r="C19" i="52"/>
  <c r="H19" i="52" s="1"/>
  <c r="K19" i="51"/>
  <c r="L19" i="51" s="1"/>
  <c r="M19" i="51" s="1"/>
  <c r="N19" i="51" s="1"/>
  <c r="O19" i="51" s="1"/>
  <c r="P19" i="51" s="1"/>
  <c r="H17" i="51"/>
  <c r="K16" i="51"/>
  <c r="L16" i="51" s="1"/>
  <c r="M16" i="51" s="1"/>
  <c r="N16" i="51" s="1"/>
  <c r="O16" i="51" s="1"/>
  <c r="P16" i="51" s="1"/>
  <c r="D16" i="51"/>
  <c r="H18" i="51"/>
  <c r="C19" i="51"/>
  <c r="H19" i="51" s="1"/>
  <c r="D18" i="51"/>
  <c r="K18" i="51"/>
  <c r="L18" i="51" s="1"/>
  <c r="M18" i="51" s="1"/>
  <c r="N18" i="51" s="1"/>
  <c r="O18" i="51" s="1"/>
  <c r="P18" i="51" s="1"/>
  <c r="K15" i="51"/>
  <c r="L15" i="51" s="1"/>
  <c r="M15" i="51" s="1"/>
  <c r="N15" i="51" s="1"/>
  <c r="O15" i="51" s="1"/>
  <c r="P15" i="51" s="1"/>
  <c r="D15" i="51"/>
  <c r="K17" i="51"/>
  <c r="L17" i="51" s="1"/>
  <c r="M17" i="51" s="1"/>
  <c r="N17" i="51" s="1"/>
  <c r="O17" i="51" s="1"/>
  <c r="P17" i="51" s="1"/>
  <c r="D17" i="51"/>
  <c r="D19" i="54" l="1"/>
  <c r="H16" i="53"/>
  <c r="H17" i="53"/>
  <c r="H18" i="53"/>
  <c r="D17" i="53"/>
  <c r="H18" i="52"/>
  <c r="D17" i="52"/>
  <c r="D19" i="52"/>
  <c r="D15" i="52"/>
  <c r="D18" i="52"/>
  <c r="D19" i="51"/>
  <c r="J28" i="49" l="1"/>
  <c r="K28" i="49" s="1"/>
  <c r="L28" i="49" s="1"/>
  <c r="J27" i="49"/>
  <c r="K27" i="49" s="1"/>
  <c r="L27" i="49" s="1"/>
  <c r="J26" i="49"/>
  <c r="K26" i="49" s="1"/>
  <c r="L26" i="49" s="1"/>
  <c r="J25" i="49"/>
  <c r="K25" i="49" s="1"/>
  <c r="L25" i="49" s="1"/>
  <c r="J24" i="49"/>
  <c r="K24" i="49" s="1"/>
  <c r="L24" i="49" s="1"/>
  <c r="J23" i="49"/>
  <c r="K23" i="49" s="1"/>
  <c r="L23" i="49" s="1"/>
  <c r="F19" i="49"/>
  <c r="F18" i="49"/>
  <c r="F17" i="49"/>
  <c r="F16" i="49"/>
  <c r="F15" i="49"/>
  <c r="F14" i="49"/>
  <c r="Q7" i="49"/>
  <c r="L7" i="49"/>
  <c r="L8" i="49" s="1"/>
  <c r="B4" i="49" s="1"/>
  <c r="B6" i="49" s="1"/>
  <c r="H6" i="49"/>
  <c r="H7" i="49" s="1"/>
  <c r="E6" i="49"/>
  <c r="A19" i="49" s="1"/>
  <c r="B3" i="49"/>
  <c r="A14" i="49" s="1"/>
  <c r="K23" i="48"/>
  <c r="J28" i="48"/>
  <c r="K28" i="48" s="1"/>
  <c r="L28" i="48" s="1"/>
  <c r="J27" i="48"/>
  <c r="K27" i="48" s="1"/>
  <c r="L27" i="48" s="1"/>
  <c r="J26" i="48"/>
  <c r="K26" i="48" s="1"/>
  <c r="L26" i="48" s="1"/>
  <c r="J25" i="48"/>
  <c r="K25" i="48" s="1"/>
  <c r="L25" i="48" s="1"/>
  <c r="J24" i="48"/>
  <c r="K24" i="48" s="1"/>
  <c r="L24" i="48" s="1"/>
  <c r="J23" i="48"/>
  <c r="L23" i="48" s="1"/>
  <c r="F19" i="48"/>
  <c r="F18" i="48"/>
  <c r="F17" i="48"/>
  <c r="F16" i="48"/>
  <c r="F15" i="48"/>
  <c r="F14" i="48"/>
  <c r="L8" i="48"/>
  <c r="Q7" i="48"/>
  <c r="L7" i="48"/>
  <c r="H6" i="48"/>
  <c r="H7" i="48" s="1"/>
  <c r="E6" i="48"/>
  <c r="A19" i="48" s="1"/>
  <c r="B4" i="48"/>
  <c r="B6" i="48" s="1"/>
  <c r="B3" i="48"/>
  <c r="A18" i="48" s="1"/>
  <c r="J28" i="47"/>
  <c r="K28" i="47" s="1"/>
  <c r="L28" i="47" s="1"/>
  <c r="J27" i="47"/>
  <c r="K27" i="47" s="1"/>
  <c r="L27" i="47" s="1"/>
  <c r="J26" i="47"/>
  <c r="K26" i="47" s="1"/>
  <c r="L26" i="47" s="1"/>
  <c r="J25" i="47"/>
  <c r="K25" i="47" s="1"/>
  <c r="L25" i="47" s="1"/>
  <c r="J24" i="47"/>
  <c r="K24" i="47" s="1"/>
  <c r="L24" i="47" s="1"/>
  <c r="J23" i="47"/>
  <c r="K23" i="47" s="1"/>
  <c r="L23" i="47" s="1"/>
  <c r="F19" i="47"/>
  <c r="F18" i="47"/>
  <c r="F17" i="47"/>
  <c r="F16" i="47"/>
  <c r="F15" i="47"/>
  <c r="F14" i="47"/>
  <c r="Q7" i="47"/>
  <c r="L7" i="47"/>
  <c r="L8" i="47" s="1"/>
  <c r="B4" i="47" s="1"/>
  <c r="B6" i="47" s="1"/>
  <c r="H6" i="47"/>
  <c r="H7" i="47" s="1"/>
  <c r="E6" i="47"/>
  <c r="A19" i="47" s="1"/>
  <c r="B3" i="47"/>
  <c r="A18" i="47" s="1"/>
  <c r="L24" i="46"/>
  <c r="L25" i="46"/>
  <c r="L26" i="46"/>
  <c r="L27" i="46"/>
  <c r="L28" i="46"/>
  <c r="K24" i="46"/>
  <c r="K25" i="46"/>
  <c r="K26" i="46"/>
  <c r="K27" i="46"/>
  <c r="K28" i="46"/>
  <c r="J24" i="46"/>
  <c r="J25" i="46"/>
  <c r="J26" i="46"/>
  <c r="J27" i="46"/>
  <c r="J28" i="46"/>
  <c r="J23" i="46"/>
  <c r="K23" i="46" s="1"/>
  <c r="L23" i="46" s="1"/>
  <c r="B19" i="49" l="1"/>
  <c r="B18" i="49"/>
  <c r="B17" i="49"/>
  <c r="B14" i="49"/>
  <c r="C14" i="49"/>
  <c r="A15" i="49"/>
  <c r="A16" i="49"/>
  <c r="A17" i="49"/>
  <c r="A18" i="49"/>
  <c r="B18" i="48"/>
  <c r="B19" i="48"/>
  <c r="C19" i="48" s="1"/>
  <c r="H19" i="48" s="1"/>
  <c r="C18" i="48"/>
  <c r="A17" i="48"/>
  <c r="A15" i="48"/>
  <c r="A14" i="48"/>
  <c r="A16" i="48"/>
  <c r="B19" i="47"/>
  <c r="C19" i="47" s="1"/>
  <c r="B18" i="47"/>
  <c r="A14" i="47"/>
  <c r="A16" i="47"/>
  <c r="B16" i="47" s="1"/>
  <c r="A15" i="47"/>
  <c r="B15" i="47" s="1"/>
  <c r="A17" i="47"/>
  <c r="F19" i="46"/>
  <c r="F18" i="46"/>
  <c r="F17" i="46"/>
  <c r="F16" i="46"/>
  <c r="F15" i="46"/>
  <c r="F14" i="46"/>
  <c r="Q7" i="46"/>
  <c r="B3" i="46" s="1"/>
  <c r="L7" i="46"/>
  <c r="H6" i="46"/>
  <c r="H7" i="46" s="1"/>
  <c r="E6" i="46"/>
  <c r="A19" i="46" s="1"/>
  <c r="K17" i="49" l="1"/>
  <c r="L17" i="49" s="1"/>
  <c r="M17" i="49" s="1"/>
  <c r="N17" i="49" s="1"/>
  <c r="O17" i="49" s="1"/>
  <c r="P17" i="49" s="1"/>
  <c r="D17" i="49"/>
  <c r="K18" i="49"/>
  <c r="L18" i="49" s="1"/>
  <c r="M18" i="49" s="1"/>
  <c r="N18" i="49" s="1"/>
  <c r="O18" i="49" s="1"/>
  <c r="P18" i="49" s="1"/>
  <c r="D18" i="49"/>
  <c r="K19" i="49"/>
  <c r="L19" i="49" s="1"/>
  <c r="M19" i="49" s="1"/>
  <c r="N19" i="49" s="1"/>
  <c r="O19" i="49" s="1"/>
  <c r="P19" i="49" s="1"/>
  <c r="C18" i="49"/>
  <c r="C17" i="49"/>
  <c r="C19" i="49"/>
  <c r="H19" i="49" s="1"/>
  <c r="K14" i="49"/>
  <c r="L14" i="49" s="1"/>
  <c r="M14" i="49" s="1"/>
  <c r="N14" i="49" s="1"/>
  <c r="O14" i="49" s="1"/>
  <c r="P14" i="49" s="1"/>
  <c r="D14" i="49"/>
  <c r="B15" i="49"/>
  <c r="C15" i="49" s="1"/>
  <c r="H15" i="49" s="1"/>
  <c r="B16" i="49"/>
  <c r="C16" i="49" s="1"/>
  <c r="H16" i="49" s="1"/>
  <c r="C14" i="48"/>
  <c r="B17" i="48"/>
  <c r="B15" i="48"/>
  <c r="K19" i="48"/>
  <c r="L19" i="48" s="1"/>
  <c r="M19" i="48" s="1"/>
  <c r="N19" i="48" s="1"/>
  <c r="O19" i="48" s="1"/>
  <c r="P19" i="48" s="1"/>
  <c r="D19" i="48"/>
  <c r="B14" i="48"/>
  <c r="B16" i="48"/>
  <c r="K18" i="48"/>
  <c r="L18" i="48" s="1"/>
  <c r="M18" i="48" s="1"/>
  <c r="N18" i="48" s="1"/>
  <c r="O18" i="48" s="1"/>
  <c r="P18" i="48" s="1"/>
  <c r="D18" i="48"/>
  <c r="K15" i="47"/>
  <c r="L15" i="47" s="1"/>
  <c r="M15" i="47" s="1"/>
  <c r="N15" i="47" s="1"/>
  <c r="O15" i="47" s="1"/>
  <c r="P15" i="47" s="1"/>
  <c r="K16" i="47"/>
  <c r="L16" i="47" s="1"/>
  <c r="M16" i="47" s="1"/>
  <c r="N16" i="47" s="1"/>
  <c r="O16" i="47" s="1"/>
  <c r="P16" i="47" s="1"/>
  <c r="C14" i="47"/>
  <c r="B14" i="47"/>
  <c r="K18" i="47"/>
  <c r="L18" i="47" s="1"/>
  <c r="M18" i="47" s="1"/>
  <c r="N18" i="47" s="1"/>
  <c r="O18" i="47" s="1"/>
  <c r="P18" i="47" s="1"/>
  <c r="C15" i="47"/>
  <c r="H15" i="47" s="1"/>
  <c r="C16" i="47"/>
  <c r="B17" i="47"/>
  <c r="K19" i="47"/>
  <c r="L19" i="47" s="1"/>
  <c r="M19" i="47" s="1"/>
  <c r="N19" i="47" s="1"/>
  <c r="O19" i="47" s="1"/>
  <c r="P19" i="47" s="1"/>
  <c r="D19" i="47"/>
  <c r="C18" i="47"/>
  <c r="A18" i="46"/>
  <c r="A14" i="46"/>
  <c r="L8" i="46"/>
  <c r="B4" i="46" s="1"/>
  <c r="B6" i="46" s="1"/>
  <c r="B17" i="46" s="1"/>
  <c r="A15" i="46"/>
  <c r="A16" i="46"/>
  <c r="A17" i="46"/>
  <c r="H17" i="49" l="1"/>
  <c r="H18" i="49"/>
  <c r="D19" i="49"/>
  <c r="K16" i="49"/>
  <c r="L16" i="49" s="1"/>
  <c r="M16" i="49" s="1"/>
  <c r="N16" i="49" s="1"/>
  <c r="O16" i="49" s="1"/>
  <c r="P16" i="49" s="1"/>
  <c r="D16" i="49"/>
  <c r="K15" i="49"/>
  <c r="L15" i="49" s="1"/>
  <c r="M15" i="49" s="1"/>
  <c r="N15" i="49" s="1"/>
  <c r="O15" i="49" s="1"/>
  <c r="P15" i="49" s="1"/>
  <c r="D15" i="49"/>
  <c r="K15" i="48"/>
  <c r="L15" i="48" s="1"/>
  <c r="M15" i="48" s="1"/>
  <c r="N15" i="48" s="1"/>
  <c r="O15" i="48" s="1"/>
  <c r="P15" i="48" s="1"/>
  <c r="K16" i="48"/>
  <c r="L16" i="48" s="1"/>
  <c r="M16" i="48" s="1"/>
  <c r="N16" i="48" s="1"/>
  <c r="O16" i="48" s="1"/>
  <c r="P16" i="48" s="1"/>
  <c r="K14" i="48"/>
  <c r="L14" i="48" s="1"/>
  <c r="M14" i="48" s="1"/>
  <c r="N14" i="48" s="1"/>
  <c r="O14" i="48" s="1"/>
  <c r="P14" i="48" s="1"/>
  <c r="D14" i="48"/>
  <c r="K17" i="48"/>
  <c r="L17" i="48" s="1"/>
  <c r="M17" i="48" s="1"/>
  <c r="N17" i="48" s="1"/>
  <c r="O17" i="48" s="1"/>
  <c r="P17" i="48" s="1"/>
  <c r="C17" i="48"/>
  <c r="C15" i="48"/>
  <c r="H15" i="48" s="1"/>
  <c r="C16" i="48"/>
  <c r="H16" i="48" s="1"/>
  <c r="K14" i="47"/>
  <c r="L14" i="47" s="1"/>
  <c r="M14" i="47" s="1"/>
  <c r="N14" i="47" s="1"/>
  <c r="O14" i="47" s="1"/>
  <c r="P14" i="47" s="1"/>
  <c r="D14" i="47"/>
  <c r="K17" i="47"/>
  <c r="L17" i="47" s="1"/>
  <c r="M17" i="47" s="1"/>
  <c r="N17" i="47" s="1"/>
  <c r="O17" i="47" s="1"/>
  <c r="P17" i="47" s="1"/>
  <c r="H16" i="47"/>
  <c r="D18" i="47"/>
  <c r="C17" i="47"/>
  <c r="H17" i="47" s="1"/>
  <c r="H19" i="47"/>
  <c r="D16" i="47"/>
  <c r="D15" i="47"/>
  <c r="B15" i="46"/>
  <c r="C15" i="46" s="1"/>
  <c r="H15" i="46" s="1"/>
  <c r="B14" i="46"/>
  <c r="C14" i="46" s="1"/>
  <c r="B19" i="46"/>
  <c r="C19" i="46" s="1"/>
  <c r="B18" i="46"/>
  <c r="C18" i="46" s="1"/>
  <c r="C17" i="46"/>
  <c r="D17" i="46" s="1"/>
  <c r="K18" i="46"/>
  <c r="L18" i="46" s="1"/>
  <c r="M18" i="46" s="1"/>
  <c r="N18" i="46" s="1"/>
  <c r="O18" i="46" s="1"/>
  <c r="P18" i="46" s="1"/>
  <c r="K17" i="46"/>
  <c r="L17" i="46" s="1"/>
  <c r="M17" i="46" s="1"/>
  <c r="N17" i="46" s="1"/>
  <c r="O17" i="46" s="1"/>
  <c r="P17" i="46" s="1"/>
  <c r="B16" i="46"/>
  <c r="C16" i="46" s="1"/>
  <c r="H17" i="48" l="1"/>
  <c r="H18" i="48"/>
  <c r="D17" i="48"/>
  <c r="D16" i="48"/>
  <c r="D15" i="48"/>
  <c r="D17" i="47"/>
  <c r="H18" i="47"/>
  <c r="D19" i="46"/>
  <c r="K19" i="46"/>
  <c r="L19" i="46" s="1"/>
  <c r="M19" i="46" s="1"/>
  <c r="N19" i="46" s="1"/>
  <c r="O19" i="46" s="1"/>
  <c r="P19" i="46" s="1"/>
  <c r="H19" i="46"/>
  <c r="D18" i="46"/>
  <c r="K15" i="46"/>
  <c r="L15" i="46" s="1"/>
  <c r="M15" i="46" s="1"/>
  <c r="N15" i="46" s="1"/>
  <c r="O15" i="46" s="1"/>
  <c r="P15" i="46" s="1"/>
  <c r="D14" i="46"/>
  <c r="K14" i="46"/>
  <c r="L14" i="46" s="1"/>
  <c r="M14" i="46" s="1"/>
  <c r="N14" i="46" s="1"/>
  <c r="O14" i="46" s="1"/>
  <c r="P14" i="46" s="1"/>
  <c r="H16" i="46"/>
  <c r="D15" i="46"/>
  <c r="K16" i="46"/>
  <c r="L16" i="46" s="1"/>
  <c r="M16" i="46" s="1"/>
  <c r="N16" i="46" s="1"/>
  <c r="O16" i="46" s="1"/>
  <c r="P16" i="46" s="1"/>
  <c r="D16" i="46"/>
  <c r="H17" i="46"/>
  <c r="H18" i="46"/>
</calcChain>
</file>

<file path=xl/sharedStrings.xml><?xml version="1.0" encoding="utf-8"?>
<sst xmlns="http://schemas.openxmlformats.org/spreadsheetml/2006/main" count="364" uniqueCount="46">
  <si>
    <t>Optimum Moisture Content</t>
  </si>
  <si>
    <t>%</t>
  </si>
  <si>
    <t>Pan Weight</t>
  </si>
  <si>
    <t>Mold Size</t>
  </si>
  <si>
    <t>Standard Proctor Value</t>
  </si>
  <si>
    <t>pcf</t>
  </si>
  <si>
    <t>Wet Weight + Pan Weight</t>
  </si>
  <si>
    <t>Diameter</t>
  </si>
  <si>
    <t>in</t>
  </si>
  <si>
    <t>Compaction Value</t>
  </si>
  <si>
    <t>Dry Weight + Pan Weight</t>
  </si>
  <si>
    <t>Height</t>
  </si>
  <si>
    <t>Remolded Density</t>
  </si>
  <si>
    <t>In-situ Moisture Content</t>
  </si>
  <si>
    <t>Volume</t>
  </si>
  <si>
    <r>
      <t>in</t>
    </r>
    <r>
      <rPr>
        <vertAlign val="superscript"/>
        <sz val="11"/>
        <color theme="1"/>
        <rFont val="Times New Roman"/>
        <family val="1"/>
      </rPr>
      <t>3</t>
    </r>
  </si>
  <si>
    <r>
      <t>ft</t>
    </r>
    <r>
      <rPr>
        <vertAlign val="superscript"/>
        <sz val="11"/>
        <color theme="1"/>
        <rFont val="Times New Roman"/>
        <family val="1"/>
      </rPr>
      <t>3</t>
    </r>
  </si>
  <si>
    <t>Moisture Content (%)</t>
  </si>
  <si>
    <t>Wet Weight (g)</t>
  </si>
  <si>
    <t>Water (g)</t>
  </si>
  <si>
    <t>Dry Weight (g)</t>
  </si>
  <si>
    <t>Thermal Conductivity, K (W/mK)</t>
  </si>
  <si>
    <t>Thermal Resistivity, R (C-cm/W)</t>
  </si>
  <si>
    <t>Temperature (°C)</t>
  </si>
  <si>
    <t>Extra Sample, g</t>
  </si>
  <si>
    <t>Compacted Sample, g</t>
  </si>
  <si>
    <t>Compacted Value</t>
  </si>
  <si>
    <t>Resulting Compaction</t>
  </si>
  <si>
    <t>Correction Factor</t>
  </si>
  <si>
    <t>Corrected Thermal Conductivity</t>
  </si>
  <si>
    <t>Corrected Thermal Resistivity</t>
  </si>
  <si>
    <t>Small Mold</t>
  </si>
  <si>
    <t>Vol</t>
  </si>
  <si>
    <t>Big Mold</t>
  </si>
  <si>
    <t>Proctor Wt.</t>
  </si>
  <si>
    <t>Pan Wt.</t>
  </si>
  <si>
    <t>Wet Density</t>
  </si>
  <si>
    <t>Dry Density</t>
  </si>
  <si>
    <t>Wet Wt.</t>
  </si>
  <si>
    <t>Dry Wt.</t>
  </si>
  <si>
    <t>MC</t>
  </si>
  <si>
    <t>Salt Concentration (g/L)</t>
  </si>
  <si>
    <t>Avg. Thermal Conductivity (W/mK)</t>
  </si>
  <si>
    <t>Thermal Conductivity at Optimum Moisture Content (W/mK)</t>
  </si>
  <si>
    <t>Average Thermal Conductivities of Sand Soil (Sample A)</t>
  </si>
  <si>
    <t>Average Thermal Conductivities of Silty Clay Soil (Sample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</si>
</sst>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/>
    <xf numFmtId="0" fontId="2" fillId="0" borderId="0" xfId="0" applyFont="1"/>
    <xf numFmtId="164" fontId="1" fillId="0" borderId="1" xfId="0" applyNumberFormat="1" applyFont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9" fontId="1" fillId="0" borderId="0" xfId="0" applyNumberFormat="1" applyFont="1"/>
    <xf numFmtId="2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87732478019672"/>
          <c:y val="0.19107821069650952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tx>
            <c:v>DI Water</c:v>
          </c:tx>
          <c:spPr>
            <a:ln w="25400">
              <a:solidFill>
                <a:srgbClr val="C00000"/>
              </a:solidFill>
            </a:ln>
          </c:spPr>
          <c:marker>
            <c:symbol val="diamond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11428617434246868"/>
                  <c:y val="-7.385346986653140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ysClr val="windowText" lastClr="000000"/>
                      </a:solidFill>
                      <a:latin typeface="+mn-lt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'All plots - Sandy'!$A$14:$A$19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17.675544794188866</c:v>
                </c:pt>
              </c:numCache>
            </c:numRef>
          </c:xVal>
          <c:yVal>
            <c:numRef>
              <c:f>'All plots - Sandy'!$E$14:$E$19</c:f>
              <c:numCache>
                <c:formatCode>General</c:formatCode>
                <c:ptCount val="6"/>
                <c:pt idx="0">
                  <c:v>0.221</c:v>
                </c:pt>
                <c:pt idx="1">
                  <c:v>0.7</c:v>
                </c:pt>
                <c:pt idx="2">
                  <c:v>1.452</c:v>
                </c:pt>
                <c:pt idx="3">
                  <c:v>1.8540000000000001</c:v>
                </c:pt>
                <c:pt idx="4">
                  <c:v>2.65</c:v>
                </c:pt>
                <c:pt idx="5">
                  <c:v>2.1890000000000001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1-4D15-A4BA-6965F8465D27}"/>
            </c:ext>
          </c:extLst>
        </c:ser>
        <c:ser>
          <c:idx val="2"/>
          <c:order val="2"/>
          <c:tx>
            <c:v>Brine 15g/L</c:v>
          </c:tx>
          <c:spPr>
            <a:ln w="25400">
              <a:solidFill>
                <a:schemeClr val="accent4">
                  <a:lumMod val="50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15844757170863097"/>
                  <c:y val="-1.914098215134895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ysClr val="windowText" lastClr="000000"/>
                      </a:solidFill>
                      <a:latin typeface="+mn-lt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'15g_L Brine'!$A$14:$A$19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21.14776985818208</c:v>
                </c:pt>
              </c:numCache>
            </c:numRef>
          </c:xVal>
          <c:yVal>
            <c:numRef>
              <c:f>'15g_L Brine'!$E$14:$E$19</c:f>
              <c:numCache>
                <c:formatCode>General</c:formatCode>
                <c:ptCount val="6"/>
                <c:pt idx="0">
                  <c:v>0.26140000000000002</c:v>
                </c:pt>
                <c:pt idx="1">
                  <c:v>0.43380000000000002</c:v>
                </c:pt>
                <c:pt idx="2">
                  <c:v>1.748</c:v>
                </c:pt>
                <c:pt idx="3">
                  <c:v>2.4670000000000001</c:v>
                </c:pt>
                <c:pt idx="4">
                  <c:v>3.069</c:v>
                </c:pt>
                <c:pt idx="5">
                  <c:v>2.1970000000000001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61-4D15-A4BA-6965F8465D27}"/>
            </c:ext>
          </c:extLst>
        </c:ser>
        <c:ser>
          <c:idx val="3"/>
          <c:order val="3"/>
          <c:tx>
            <c:v>Brine 30g/L</c:v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x"/>
            <c:size val="1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15703292274758929"/>
                  <c:y val="0.1207910471419966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ysClr val="windowText" lastClr="000000"/>
                      </a:solidFill>
                      <a:latin typeface="+mn-lt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'30g_L Brine'!$A$14:$A$19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20.753614721775946</c:v>
                </c:pt>
              </c:numCache>
            </c:numRef>
          </c:xVal>
          <c:yVal>
            <c:numRef>
              <c:f>'30g_L Brine'!$E$14:$E$19</c:f>
              <c:numCache>
                <c:formatCode>General</c:formatCode>
                <c:ptCount val="6"/>
                <c:pt idx="0">
                  <c:v>0.26179999999999998</c:v>
                </c:pt>
                <c:pt idx="1">
                  <c:v>0.67359999999999998</c:v>
                </c:pt>
                <c:pt idx="2">
                  <c:v>1.635</c:v>
                </c:pt>
                <c:pt idx="3">
                  <c:v>2.2610000000000001</c:v>
                </c:pt>
                <c:pt idx="4">
                  <c:v>2.1949999999999998</c:v>
                </c:pt>
                <c:pt idx="5">
                  <c:v>2.1560000000000001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61-4D15-A4BA-6965F846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xVal>
                  <c:numRef>
                    <c:extLst>
                      <c:ext uri="{02D57815-91ED-43cb-92C2-25804820EDAC}">
                        <c15:formulaRef>
                          <c15:sqref>'All plots - Sandy'!$A$14:$A$19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 formatCode="General">
                        <c:v>0</c:v>
                      </c:pt>
                      <c:pt idx="1">
                        <c:v>2.7930223441787532</c:v>
                      </c:pt>
                      <c:pt idx="2">
                        <c:v>5.5860446883575063</c:v>
                      </c:pt>
                      <c:pt idx="3">
                        <c:v>8.3790670325362591</c:v>
                      </c:pt>
                      <c:pt idx="4">
                        <c:v>11.172089376715013</c:v>
                      </c:pt>
                      <c:pt idx="5">
                        <c:v>17.675544794188866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 plots - Sandy'!$P$14:$P$19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452.48868778280541</c:v>
                      </c:pt>
                      <c:pt idx="1">
                        <c:v>142.85714285714286</c:v>
                      </c:pt>
                      <c:pt idx="2">
                        <c:v>68.870523415977971</c:v>
                      </c:pt>
                      <c:pt idx="3">
                        <c:v>53.937432578209275</c:v>
                      </c:pt>
                      <c:pt idx="4">
                        <c:v>37.735849056603776</c:v>
                      </c:pt>
                      <c:pt idx="5">
                        <c:v>45.682960255824575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F61-4D15-A4BA-6965F8465D27}"/>
                  </c:ext>
                </c:extLst>
              </c15:ser>
            </c15:filteredScatterSeries>
          </c:ext>
        </c:extLst>
      </c:scatterChart>
      <c:valAx>
        <c:axId val="39500416"/>
        <c:scaling>
          <c:orientation val="minMax"/>
          <c:max val="22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 b="1">
                <a:solidFill>
                  <a:sysClr val="windowText" lastClr="000000"/>
                </a:solidFill>
                <a:latin typeface="+mn-lt"/>
              </a:defRPr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 b="1">
                <a:latin typeface="+mn-lt"/>
              </a:defRPr>
            </a:pPr>
            <a:endParaRPr lang="en-US"/>
          </a:p>
        </c:txPr>
        <c:crossAx val="39500416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8540965051120604"/>
          <c:y val="5.7977998288051232E-2"/>
          <c:w val="0.49565885577153262"/>
          <c:h val="5.2480486954316327E-2"/>
        </c:manualLayout>
      </c:layout>
      <c:overlay val="0"/>
      <c:txPr>
        <a:bodyPr/>
        <a:lstStyle/>
        <a:p>
          <a:pPr>
            <a:defRPr sz="22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DI!$A$14:$A$19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17.675544794188866</c:v>
                </c:pt>
              </c:numCache>
            </c:numRef>
          </c:xVal>
          <c:yVal>
            <c:numRef>
              <c:f>DI!$P$14:$P$19</c:f>
              <c:numCache>
                <c:formatCode>0.00</c:formatCode>
                <c:ptCount val="6"/>
                <c:pt idx="0">
                  <c:v>452.48868778280541</c:v>
                </c:pt>
                <c:pt idx="1">
                  <c:v>142.85714285714286</c:v>
                </c:pt>
                <c:pt idx="2">
                  <c:v>68.870523415977971</c:v>
                </c:pt>
                <c:pt idx="3">
                  <c:v>53.937432578209275</c:v>
                </c:pt>
                <c:pt idx="4">
                  <c:v>37.735849056603776</c:v>
                </c:pt>
                <c:pt idx="5">
                  <c:v>45.682960255824575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7-4920-AA21-0041F2D5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DI!$A$14:$A$19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17.675544794188866</c:v>
                </c:pt>
              </c:numCache>
            </c:numRef>
          </c:xVal>
          <c:yVal>
            <c:numRef>
              <c:f>DI!$P$14:$P$19</c:f>
              <c:numCache>
                <c:formatCode>0.00</c:formatCode>
                <c:ptCount val="6"/>
                <c:pt idx="0">
                  <c:v>452.48868778280541</c:v>
                </c:pt>
                <c:pt idx="1">
                  <c:v>142.85714285714286</c:v>
                </c:pt>
                <c:pt idx="2">
                  <c:v>68.870523415977971</c:v>
                </c:pt>
                <c:pt idx="3">
                  <c:v>53.937432578209275</c:v>
                </c:pt>
                <c:pt idx="4">
                  <c:v>37.735849056603776</c:v>
                </c:pt>
                <c:pt idx="5">
                  <c:v>45.682960255824575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2-4329-9087-A5C93FB7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87732478019672"/>
          <c:y val="0.1942992654980273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tx>
            <c:v>DI Water</c:v>
          </c:tx>
          <c:spPr>
            <a:ln w="25400">
              <a:solidFill>
                <a:srgbClr val="C00000"/>
              </a:solidFill>
            </a:ln>
          </c:spPr>
          <c:marker>
            <c:symbol val="diamond"/>
            <c:size val="11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2082398285930979"/>
                  <c:y val="5.937177820752623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'All plots - Silt Clay'!$A$14:$A$19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30.813793103448273</c:v>
                </c:pt>
              </c:numCache>
            </c:numRef>
          </c:xVal>
          <c:yVal>
            <c:numRef>
              <c:f>'All plots - Silt Clay'!$E$14:$E$19</c:f>
              <c:numCache>
                <c:formatCode>General</c:formatCode>
                <c:ptCount val="6"/>
                <c:pt idx="0">
                  <c:v>0.33090000000000003</c:v>
                </c:pt>
                <c:pt idx="1">
                  <c:v>0.4753</c:v>
                </c:pt>
                <c:pt idx="2">
                  <c:v>0.62429999999999997</c:v>
                </c:pt>
                <c:pt idx="3">
                  <c:v>1.0109999999999999</c:v>
                </c:pt>
                <c:pt idx="4">
                  <c:v>1.202</c:v>
                </c:pt>
                <c:pt idx="5">
                  <c:v>0.99850000000000005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4-4054-A9D1-CBE8F054F078}"/>
            </c:ext>
          </c:extLst>
        </c:ser>
        <c:ser>
          <c:idx val="2"/>
          <c:order val="2"/>
          <c:tx>
            <c:v>Brine 15g/L</c:v>
          </c:tx>
          <c:spPr>
            <a:ln w="25400">
              <a:solidFill>
                <a:schemeClr val="accent4">
                  <a:lumMod val="50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2955214086743306"/>
                  <c:y val="-8.5504866372887803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'[2]15g_L Brine'!$A$14:$A$19</c:f>
              <c:numCache>
                <c:formatCode>General</c:formatCode>
                <c:ptCount val="6"/>
                <c:pt idx="0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29.914961083885839</c:v>
                </c:pt>
              </c:numCache>
            </c:numRef>
          </c:xVal>
          <c:yVal>
            <c:numRef>
              <c:f>'[2]15g_L Brine'!$E$14:$E$19</c:f>
              <c:numCache>
                <c:formatCode>General</c:formatCode>
                <c:ptCount val="6"/>
                <c:pt idx="0">
                  <c:v>0.35649999999999998</c:v>
                </c:pt>
                <c:pt idx="1">
                  <c:v>0.54449999999999998</c:v>
                </c:pt>
                <c:pt idx="2">
                  <c:v>0.74250000000000005</c:v>
                </c:pt>
                <c:pt idx="3">
                  <c:v>1.0589999999999999</c:v>
                </c:pt>
                <c:pt idx="4">
                  <c:v>1.2529999999999999</c:v>
                </c:pt>
                <c:pt idx="5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4-4054-A9D1-CBE8F054F078}"/>
            </c:ext>
          </c:extLst>
        </c:ser>
        <c:ser>
          <c:idx val="3"/>
          <c:order val="3"/>
          <c:tx>
            <c:v>Brine 30g/L</c:v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x"/>
            <c:size val="1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7.3092846177124859E-2"/>
                  <c:y val="-1.96895666233395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'[2]30g_L Brine'!$A$14:$A$19</c:f>
              <c:numCache>
                <c:formatCode>General</c:formatCode>
                <c:ptCount val="6"/>
                <c:pt idx="0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29.801191512149394</c:v>
                </c:pt>
              </c:numCache>
            </c:numRef>
          </c:xVal>
          <c:yVal>
            <c:numRef>
              <c:f>'[2]30g_L Brine'!$E$14:$E$19</c:f>
              <c:numCache>
                <c:formatCode>General</c:formatCode>
                <c:ptCount val="6"/>
                <c:pt idx="0">
                  <c:v>0.39510000000000001</c:v>
                </c:pt>
                <c:pt idx="1">
                  <c:v>0.48249999999999998</c:v>
                </c:pt>
                <c:pt idx="2">
                  <c:v>0.82799999999999996</c:v>
                </c:pt>
                <c:pt idx="3">
                  <c:v>0.99870000000000003</c:v>
                </c:pt>
                <c:pt idx="4">
                  <c:v>1.389</c:v>
                </c:pt>
                <c:pt idx="5">
                  <c:v>1.054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84-4054-A9D1-CBE8F054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xVal>
                  <c:numRef>
                    <c:extLst>
                      <c:ext uri="{02D57815-91ED-43cb-92C2-25804820EDAC}">
                        <c15:formulaRef>
                          <c15:sqref>'[3]All plots'!$A$14:$A$19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2.7930223441787532</c:v>
                      </c:pt>
                      <c:pt idx="2">
                        <c:v>5.5860446883575063</c:v>
                      </c:pt>
                      <c:pt idx="3">
                        <c:v>8.3790670325362591</c:v>
                      </c:pt>
                      <c:pt idx="4">
                        <c:v>11.172089376715013</c:v>
                      </c:pt>
                      <c:pt idx="5">
                        <c:v>17.675544794188866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'[3]All plots'!$P$14:$P$19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452.48868778280541</c:v>
                      </c:pt>
                      <c:pt idx="1">
                        <c:v>142.85714285714286</c:v>
                      </c:pt>
                      <c:pt idx="2">
                        <c:v>68.870523415977971</c:v>
                      </c:pt>
                      <c:pt idx="3">
                        <c:v>53.937432578209275</c:v>
                      </c:pt>
                      <c:pt idx="4">
                        <c:v>37.735849056603776</c:v>
                      </c:pt>
                      <c:pt idx="5">
                        <c:v>45.682960255824575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884-4054-A9D1-CBE8F054F078}"/>
                  </c:ext>
                </c:extLst>
              </c15:ser>
            </c15:filteredScatterSeries>
          </c:ext>
        </c:extLst>
      </c:scatterChart>
      <c:valAx>
        <c:axId val="39500416"/>
        <c:scaling>
          <c:orientation val="minMax"/>
          <c:max val="32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 b="1"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 b="1"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4856904127591201"/>
          <c:y val="9.662999714675205E-2"/>
          <c:w val="0.4938135025505665"/>
          <c:h val="5.2480486954316327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200">
          <a:solidFill>
            <a:sysClr val="windowText" lastClr="000000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87732478019672"/>
          <c:y val="0.19429926549802737"/>
          <c:w val="0.77648381452318505"/>
          <c:h val="0.59104512977544454"/>
        </c:manualLayout>
      </c:layout>
      <c:barChart>
        <c:barDir val="col"/>
        <c:grouping val="clustered"/>
        <c:varyColors val="0"/>
        <c:ser>
          <c:idx val="0"/>
          <c:order val="0"/>
          <c:tx>
            <c:v>DI Water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errBars>
            <c:errBarType val="both"/>
            <c:errValType val="percentage"/>
            <c:noEndCap val="0"/>
            <c:val val="5"/>
          </c:errBars>
          <c:cat>
            <c:numRef>
              <c:f>'All plots - Silt Clay'!$A$14:$A$19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30.813793103448273</c:v>
                </c:pt>
              </c:numCache>
            </c:numRef>
          </c:cat>
          <c:val>
            <c:numRef>
              <c:f>'All plots - Silt Clay'!$E$14:$E$19</c:f>
              <c:numCache>
                <c:formatCode>General</c:formatCode>
                <c:ptCount val="6"/>
                <c:pt idx="0">
                  <c:v>0.33090000000000003</c:v>
                </c:pt>
                <c:pt idx="1">
                  <c:v>0.4753</c:v>
                </c:pt>
                <c:pt idx="2">
                  <c:v>0.62429999999999997</c:v>
                </c:pt>
                <c:pt idx="3">
                  <c:v>1.0109999999999999</c:v>
                </c:pt>
                <c:pt idx="4">
                  <c:v>1.202</c:v>
                </c:pt>
                <c:pt idx="5">
                  <c:v>0.99850000000000005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1-4027-B63A-C49D939CD59A}"/>
            </c:ext>
          </c:extLst>
        </c:ser>
        <c:ser>
          <c:idx val="2"/>
          <c:order val="2"/>
          <c:tx>
            <c:v>Brine 15g/L</c:v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</c:spPr>
          <c:invertIfNegative val="0"/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errBars>
            <c:errBarType val="both"/>
            <c:errValType val="percentage"/>
            <c:noEndCap val="0"/>
            <c:val val="5"/>
          </c:errBars>
          <c:cat>
            <c:numRef>
              <c:f>'[2]15g_L Brine'!$A$14:$A$19</c:f>
              <c:numCache>
                <c:formatCode>General</c:formatCode>
                <c:ptCount val="6"/>
                <c:pt idx="0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29.914961083885839</c:v>
                </c:pt>
              </c:numCache>
            </c:numRef>
          </c:cat>
          <c:val>
            <c:numRef>
              <c:f>'[2]15g_L Brine'!$E$14:$E$19</c:f>
              <c:numCache>
                <c:formatCode>General</c:formatCode>
                <c:ptCount val="6"/>
                <c:pt idx="0">
                  <c:v>0.35649999999999998</c:v>
                </c:pt>
                <c:pt idx="1">
                  <c:v>0.54449999999999998</c:v>
                </c:pt>
                <c:pt idx="2">
                  <c:v>0.74250000000000005</c:v>
                </c:pt>
                <c:pt idx="3">
                  <c:v>1.0589999999999999</c:v>
                </c:pt>
                <c:pt idx="4">
                  <c:v>1.2529999999999999</c:v>
                </c:pt>
                <c:pt idx="5">
                  <c:v>1.036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1-4027-B63A-C49D939CD59A}"/>
            </c:ext>
          </c:extLst>
        </c:ser>
        <c:ser>
          <c:idx val="3"/>
          <c:order val="3"/>
          <c:tx>
            <c:v>Brine 30g/L</c:v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</c:spPr>
          <c:invertIfNegative val="0"/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errBars>
            <c:errBarType val="both"/>
            <c:errValType val="percentage"/>
            <c:noEndCap val="0"/>
            <c:val val="5"/>
          </c:errBars>
          <c:cat>
            <c:numRef>
              <c:f>'[2]30g_L Brine'!$A$14:$A$19</c:f>
              <c:numCache>
                <c:formatCode>General</c:formatCode>
                <c:ptCount val="6"/>
                <c:pt idx="0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29.801191512149394</c:v>
                </c:pt>
              </c:numCache>
            </c:numRef>
          </c:cat>
          <c:val>
            <c:numRef>
              <c:f>'[2]30g_L Brine'!$E$14:$E$19</c:f>
              <c:numCache>
                <c:formatCode>General</c:formatCode>
                <c:ptCount val="6"/>
                <c:pt idx="0">
                  <c:v>0.39510000000000001</c:v>
                </c:pt>
                <c:pt idx="1">
                  <c:v>0.48249999999999998</c:v>
                </c:pt>
                <c:pt idx="2">
                  <c:v>0.82799999999999996</c:v>
                </c:pt>
                <c:pt idx="3">
                  <c:v>0.99870000000000003</c:v>
                </c:pt>
                <c:pt idx="4">
                  <c:v>1.389</c:v>
                </c:pt>
                <c:pt idx="5">
                  <c:v>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41-4027-B63A-C49D939C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00416"/>
        <c:axId val="395189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'[3]All plots'!$A$14:$A$19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2.7930223441787532</c:v>
                      </c:pt>
                      <c:pt idx="2">
                        <c:v>5.5860446883575063</c:v>
                      </c:pt>
                      <c:pt idx="3">
                        <c:v>8.3790670325362591</c:v>
                      </c:pt>
                      <c:pt idx="4">
                        <c:v>11.172089376715013</c:v>
                      </c:pt>
                      <c:pt idx="5">
                        <c:v>17.675544794188866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'[3]All plots'!$P$14:$P$19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452.48868778280541</c:v>
                      </c:pt>
                      <c:pt idx="1">
                        <c:v>142.85714285714286</c:v>
                      </c:pt>
                      <c:pt idx="2">
                        <c:v>68.870523415977971</c:v>
                      </c:pt>
                      <c:pt idx="3">
                        <c:v>53.937432578209275</c:v>
                      </c:pt>
                      <c:pt idx="4">
                        <c:v>37.735849056603776</c:v>
                      </c:pt>
                      <c:pt idx="5">
                        <c:v>45.682960255824575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941-4027-B63A-C49D939CD59A}"/>
                  </c:ext>
                </c:extLst>
              </c15:ser>
            </c15:filteredBarSeries>
          </c:ext>
        </c:extLst>
      </c:barChart>
      <c:catAx>
        <c:axId val="395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 b="1"/>
            </a:pPr>
            <a:endParaRPr lang="en-US"/>
          </a:p>
        </c:txPr>
        <c:crossAx val="39518976"/>
        <c:crosses val="autoZero"/>
        <c:auto val="1"/>
        <c:lblAlgn val="ctr"/>
        <c:lblOffset val="100"/>
        <c:noMultiLvlLbl val="0"/>
      </c:catAx>
      <c:valAx>
        <c:axId val="3951897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 b="1"/>
            </a:pPr>
            <a:endParaRPr lang="en-US"/>
          </a:p>
        </c:txPr>
        <c:crossAx val="395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535535244911917"/>
          <c:y val="0.13689249595789874"/>
          <c:w val="0.49450380042331621"/>
          <c:h val="5.2480486954316327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200">
          <a:solidFill>
            <a:sysClr val="windowText" lastClr="000000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'DI (2)'!$A$14:$A$19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30.813793103448273</c:v>
                </c:pt>
              </c:numCache>
            </c:numRef>
          </c:xVal>
          <c:yVal>
            <c:numRef>
              <c:f>'DI (2)'!$E$14:$E$19</c:f>
              <c:numCache>
                <c:formatCode>General</c:formatCode>
                <c:ptCount val="6"/>
                <c:pt idx="0">
                  <c:v>0.33090000000000003</c:v>
                </c:pt>
                <c:pt idx="1">
                  <c:v>0.4753</c:v>
                </c:pt>
                <c:pt idx="2">
                  <c:v>0.62429999999999997</c:v>
                </c:pt>
                <c:pt idx="3">
                  <c:v>1.0109999999999999</c:v>
                </c:pt>
                <c:pt idx="4">
                  <c:v>1.202</c:v>
                </c:pt>
                <c:pt idx="5">
                  <c:v>0.99850000000000005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F-4E12-A919-78671D4A031F}"/>
            </c:ext>
          </c:extLst>
        </c:ser>
        <c:ser>
          <c:idx val="1"/>
          <c:order val="1"/>
          <c:xVal>
            <c:numRef>
              <c:f>'DI (2)'!$A$14:$A$19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30.813793103448273</c:v>
                </c:pt>
              </c:numCache>
            </c:numRef>
          </c:xVal>
          <c:yVal>
            <c:numRef>
              <c:f>'DI (2)'!$P$14:$P$19</c:f>
              <c:numCache>
                <c:formatCode>0.00</c:formatCode>
                <c:ptCount val="6"/>
                <c:pt idx="0">
                  <c:v>302.20610456331218</c:v>
                </c:pt>
                <c:pt idx="1">
                  <c:v>210.39343572480539</c:v>
                </c:pt>
                <c:pt idx="2">
                  <c:v>160.17940092904053</c:v>
                </c:pt>
                <c:pt idx="3">
                  <c:v>98.911968348170149</c:v>
                </c:pt>
                <c:pt idx="4">
                  <c:v>83.194675540765388</c:v>
                </c:pt>
                <c:pt idx="5">
                  <c:v>100.15022533800702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F-4E12-A919-78671D4A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Conductivity(W/mK)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2"/>
          <c:order val="0"/>
          <c:marker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'[1]TRT - 01'!$A$14:$A$18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'[1]TRT - 01'!$G$14:$G$18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DB-4B91-8AC4-D7684B6C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Thermal Resistivity(°C-cm/W)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'[1]TRT - 01'!$A$14:$A$19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'[1]TRT - 01'!$P$14:$P$19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4A77-B184-E043B71F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[2]DI!$A$14:$A$19</c:f>
              <c:numCache>
                <c:formatCode>General</c:formatCode>
                <c:ptCount val="6"/>
                <c:pt idx="0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30.813793103448273</c:v>
                </c:pt>
              </c:numCache>
            </c:numRef>
          </c:xVal>
          <c:yVal>
            <c:numRef>
              <c:f>[2]DI!$P$14:$P$19</c:f>
              <c:numCache>
                <c:formatCode>General</c:formatCode>
                <c:ptCount val="6"/>
                <c:pt idx="0">
                  <c:v>302.20610456331218</c:v>
                </c:pt>
                <c:pt idx="1">
                  <c:v>210.39343572480539</c:v>
                </c:pt>
                <c:pt idx="2">
                  <c:v>160.17940092904053</c:v>
                </c:pt>
                <c:pt idx="3">
                  <c:v>98.911968348170149</c:v>
                </c:pt>
                <c:pt idx="4">
                  <c:v>83.194675540765388</c:v>
                </c:pt>
                <c:pt idx="5">
                  <c:v>100.15022533800702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3-4F33-85DB-7C06356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'15g_L Brine (2)'!$A$14:$A$19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29.914961083885839</c:v>
                </c:pt>
              </c:numCache>
            </c:numRef>
          </c:xVal>
          <c:yVal>
            <c:numRef>
              <c:f>'15g_L Brine (2)'!$E$14:$E$19</c:f>
              <c:numCache>
                <c:formatCode>General</c:formatCode>
                <c:ptCount val="6"/>
                <c:pt idx="0">
                  <c:v>0.35649999999999998</c:v>
                </c:pt>
                <c:pt idx="1">
                  <c:v>0.54449999999999998</c:v>
                </c:pt>
                <c:pt idx="2">
                  <c:v>0.74250000000000005</c:v>
                </c:pt>
                <c:pt idx="3">
                  <c:v>1.0589999999999999</c:v>
                </c:pt>
                <c:pt idx="4">
                  <c:v>1.2529999999999999</c:v>
                </c:pt>
                <c:pt idx="5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A-4D26-87E7-74C950D1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Conductivity(°W/mK)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2"/>
          <c:order val="0"/>
          <c:marker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'[1]TRT - 01'!$A$14:$A$18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'[1]TRT - 01'!$G$14:$G$18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E-4EA6-9A69-924F8A7A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Thermal Resistivity(°C-cm/W)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87732478019672"/>
          <c:y val="0.19107821069650952"/>
          <c:w val="0.77648381452318505"/>
          <c:h val="0.59104512977544454"/>
        </c:manualLayout>
      </c:layout>
      <c:barChart>
        <c:barDir val="col"/>
        <c:grouping val="clustered"/>
        <c:varyColors val="0"/>
        <c:ser>
          <c:idx val="0"/>
          <c:order val="0"/>
          <c:tx>
            <c:v>DI Water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errBars>
            <c:errBarType val="both"/>
            <c:errValType val="percentage"/>
            <c:noEndCap val="0"/>
            <c:val val="5"/>
          </c:errBars>
          <c:cat>
            <c:numRef>
              <c:f>'All plots - Sandy'!$A$14:$A$19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17.675544794188866</c:v>
                </c:pt>
              </c:numCache>
            </c:numRef>
          </c:cat>
          <c:val>
            <c:numRef>
              <c:f>'All plots - Sandy'!$E$14:$E$19</c:f>
              <c:numCache>
                <c:formatCode>General</c:formatCode>
                <c:ptCount val="6"/>
                <c:pt idx="0">
                  <c:v>0.221</c:v>
                </c:pt>
                <c:pt idx="1">
                  <c:v>0.7</c:v>
                </c:pt>
                <c:pt idx="2">
                  <c:v>1.452</c:v>
                </c:pt>
                <c:pt idx="3">
                  <c:v>1.8540000000000001</c:v>
                </c:pt>
                <c:pt idx="4">
                  <c:v>2.65</c:v>
                </c:pt>
                <c:pt idx="5">
                  <c:v>2.1890000000000001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2-4CD2-B2D4-B1E45AB09E13}"/>
            </c:ext>
          </c:extLst>
        </c:ser>
        <c:ser>
          <c:idx val="2"/>
          <c:order val="2"/>
          <c:tx>
            <c:v>Brine 15g/L</c:v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</c:spPr>
          <c:invertIfNegative val="0"/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errBars>
            <c:errBarType val="both"/>
            <c:errValType val="percentage"/>
            <c:noEndCap val="0"/>
            <c:val val="5"/>
          </c:errBars>
          <c:cat>
            <c:numRef>
              <c:f>'15g_L Brine'!$A$14:$A$19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21.14776985818208</c:v>
                </c:pt>
              </c:numCache>
            </c:numRef>
          </c:cat>
          <c:val>
            <c:numRef>
              <c:f>'15g_L Brine'!$E$14:$E$19</c:f>
              <c:numCache>
                <c:formatCode>General</c:formatCode>
                <c:ptCount val="6"/>
                <c:pt idx="0">
                  <c:v>0.26140000000000002</c:v>
                </c:pt>
                <c:pt idx="1">
                  <c:v>0.43380000000000002</c:v>
                </c:pt>
                <c:pt idx="2">
                  <c:v>1.748</c:v>
                </c:pt>
                <c:pt idx="3">
                  <c:v>2.4670000000000001</c:v>
                </c:pt>
                <c:pt idx="4">
                  <c:v>3.069</c:v>
                </c:pt>
                <c:pt idx="5">
                  <c:v>2.1970000000000001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2-4CD2-B2D4-B1E45AB09E13}"/>
            </c:ext>
          </c:extLst>
        </c:ser>
        <c:ser>
          <c:idx val="3"/>
          <c:order val="3"/>
          <c:tx>
            <c:v>Brine 30g/L</c:v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</c:spPr>
          <c:invertIfNegative val="0"/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errBars>
            <c:errBarType val="both"/>
            <c:errValType val="percentage"/>
            <c:noEndCap val="0"/>
            <c:val val="5"/>
          </c:errBars>
          <c:cat>
            <c:numRef>
              <c:f>'30g_L Brine'!$A$14:$A$19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20.753614721775946</c:v>
                </c:pt>
              </c:numCache>
            </c:numRef>
          </c:cat>
          <c:val>
            <c:numRef>
              <c:f>'30g_L Brine'!$E$14:$E$19</c:f>
              <c:numCache>
                <c:formatCode>General</c:formatCode>
                <c:ptCount val="6"/>
                <c:pt idx="0">
                  <c:v>0.26179999999999998</c:v>
                </c:pt>
                <c:pt idx="1">
                  <c:v>0.67359999999999998</c:v>
                </c:pt>
                <c:pt idx="2">
                  <c:v>1.635</c:v>
                </c:pt>
                <c:pt idx="3">
                  <c:v>2.2610000000000001</c:v>
                </c:pt>
                <c:pt idx="4">
                  <c:v>2.1949999999999998</c:v>
                </c:pt>
                <c:pt idx="5">
                  <c:v>2.1560000000000001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52-4CD2-B2D4-B1E45AB0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00416"/>
        <c:axId val="395189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'All plots - Sandy'!$A$14:$A$19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 formatCode="General">
                        <c:v>0</c:v>
                      </c:pt>
                      <c:pt idx="1">
                        <c:v>2.7930223441787532</c:v>
                      </c:pt>
                      <c:pt idx="2">
                        <c:v>5.5860446883575063</c:v>
                      </c:pt>
                      <c:pt idx="3">
                        <c:v>8.3790670325362591</c:v>
                      </c:pt>
                      <c:pt idx="4">
                        <c:v>11.172089376715013</c:v>
                      </c:pt>
                      <c:pt idx="5">
                        <c:v>17.675544794188866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plots - Sandy'!$P$14:$P$19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452.48868778280541</c:v>
                      </c:pt>
                      <c:pt idx="1">
                        <c:v>142.85714285714286</c:v>
                      </c:pt>
                      <c:pt idx="2">
                        <c:v>68.870523415977971</c:v>
                      </c:pt>
                      <c:pt idx="3">
                        <c:v>53.937432578209275</c:v>
                      </c:pt>
                      <c:pt idx="4">
                        <c:v>37.735849056603776</c:v>
                      </c:pt>
                      <c:pt idx="5">
                        <c:v>45.682960255824575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252-4CD2-B2D4-B1E45AB09E13}"/>
                  </c:ext>
                </c:extLst>
              </c15:ser>
            </c15:filteredBarSeries>
          </c:ext>
        </c:extLst>
      </c:barChart>
      <c:catAx>
        <c:axId val="395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 b="1">
                <a:solidFill>
                  <a:sysClr val="windowText" lastClr="000000"/>
                </a:solidFill>
                <a:latin typeface="+mn-lt"/>
              </a:defRPr>
            </a:pPr>
            <a:endParaRPr lang="en-US"/>
          </a:p>
        </c:txPr>
        <c:crossAx val="39518976"/>
        <c:crosses val="autoZero"/>
        <c:auto val="1"/>
        <c:lblAlgn val="ctr"/>
        <c:lblOffset val="100"/>
        <c:noMultiLvlLbl val="0"/>
      </c:catAx>
      <c:valAx>
        <c:axId val="3951897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 b="1">
                <a:latin typeface="+mn-lt"/>
              </a:defRPr>
            </a:pPr>
            <a:endParaRPr lang="en-US"/>
          </a:p>
        </c:txPr>
        <c:crossAx val="3950041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8995076466820097"/>
          <c:y val="0.14494499572012809"/>
          <c:w val="0.49635173324851817"/>
          <c:h val="5.2480486954316327E-2"/>
        </c:manualLayout>
      </c:layout>
      <c:overlay val="0"/>
      <c:txPr>
        <a:bodyPr/>
        <a:lstStyle/>
        <a:p>
          <a:pPr>
            <a:defRPr sz="22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'[1]TRT - 01'!$A$14:$A$19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'[1]TRT - 01'!$P$14:$P$19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8-4FC3-B94E-7EC71BEE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[2]DI!$A$14:$A$19</c:f>
              <c:numCache>
                <c:formatCode>General</c:formatCode>
                <c:ptCount val="6"/>
                <c:pt idx="0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30.813793103448273</c:v>
                </c:pt>
              </c:numCache>
            </c:numRef>
          </c:xVal>
          <c:yVal>
            <c:numRef>
              <c:f>[2]DI!$P$14:$P$19</c:f>
              <c:numCache>
                <c:formatCode>General</c:formatCode>
                <c:ptCount val="6"/>
                <c:pt idx="0">
                  <c:v>302.20610456331218</c:v>
                </c:pt>
                <c:pt idx="1">
                  <c:v>210.39343572480539</c:v>
                </c:pt>
                <c:pt idx="2">
                  <c:v>160.17940092904053</c:v>
                </c:pt>
                <c:pt idx="3">
                  <c:v>98.911968348170149</c:v>
                </c:pt>
                <c:pt idx="4">
                  <c:v>83.194675540765388</c:v>
                </c:pt>
                <c:pt idx="5">
                  <c:v>100.15022533800702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960-8D9F-88A7E5A5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[2]DI!$A$14:$A$19</c:f>
              <c:numCache>
                <c:formatCode>General</c:formatCode>
                <c:ptCount val="6"/>
                <c:pt idx="0">
                  <c:v>0</c:v>
                </c:pt>
                <c:pt idx="1">
                  <c:v>3.9750000000000001</c:v>
                </c:pt>
                <c:pt idx="2">
                  <c:v>7.95</c:v>
                </c:pt>
                <c:pt idx="3">
                  <c:v>11.925000000000001</c:v>
                </c:pt>
                <c:pt idx="4">
                  <c:v>15.9</c:v>
                </c:pt>
                <c:pt idx="5">
                  <c:v>30.813793103448273</c:v>
                </c:pt>
              </c:numCache>
            </c:numRef>
          </c:xVal>
          <c:yVal>
            <c:numRef>
              <c:f>[2]DI!$P$14:$P$19</c:f>
              <c:numCache>
                <c:formatCode>General</c:formatCode>
                <c:ptCount val="6"/>
                <c:pt idx="0">
                  <c:v>302.20610456331218</c:v>
                </c:pt>
                <c:pt idx="1">
                  <c:v>210.39343572480539</c:v>
                </c:pt>
                <c:pt idx="2">
                  <c:v>160.17940092904053</c:v>
                </c:pt>
                <c:pt idx="3">
                  <c:v>98.911968348170149</c:v>
                </c:pt>
                <c:pt idx="4">
                  <c:v>83.194675540765388</c:v>
                </c:pt>
                <c:pt idx="5">
                  <c:v>100.15022533800702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1-4FA3-9424-18D246E6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DI!$A$14:$A$19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17.675544794188866</c:v>
                </c:pt>
              </c:numCache>
            </c:numRef>
          </c:xVal>
          <c:yVal>
            <c:numRef>
              <c:f>DI!$E$14:$E$19</c:f>
              <c:numCache>
                <c:formatCode>General</c:formatCode>
                <c:ptCount val="6"/>
                <c:pt idx="0">
                  <c:v>0.221</c:v>
                </c:pt>
                <c:pt idx="1">
                  <c:v>0.7</c:v>
                </c:pt>
                <c:pt idx="2">
                  <c:v>1.452</c:v>
                </c:pt>
                <c:pt idx="3">
                  <c:v>1.8540000000000001</c:v>
                </c:pt>
                <c:pt idx="4">
                  <c:v>2.65</c:v>
                </c:pt>
                <c:pt idx="5">
                  <c:v>2.1890000000000001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A-484C-85E9-0F8411C6903C}"/>
            </c:ext>
          </c:extLst>
        </c:ser>
        <c:ser>
          <c:idx val="1"/>
          <c:order val="1"/>
          <c:xVal>
            <c:numRef>
              <c:f>DI!$A$14:$A$19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17.675544794188866</c:v>
                </c:pt>
              </c:numCache>
            </c:numRef>
          </c:xVal>
          <c:yVal>
            <c:numRef>
              <c:f>DI!$P$14:$P$19</c:f>
              <c:numCache>
                <c:formatCode>0.00</c:formatCode>
                <c:ptCount val="6"/>
                <c:pt idx="0">
                  <c:v>452.48868778280541</c:v>
                </c:pt>
                <c:pt idx="1">
                  <c:v>142.85714285714286</c:v>
                </c:pt>
                <c:pt idx="2">
                  <c:v>68.870523415977971</c:v>
                </c:pt>
                <c:pt idx="3">
                  <c:v>53.937432578209275</c:v>
                </c:pt>
                <c:pt idx="4">
                  <c:v>37.735849056603776</c:v>
                </c:pt>
                <c:pt idx="5">
                  <c:v>45.682960255824575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D-4CAA-98D0-7C2A0FAE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Conductivity(W/mK)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2"/>
          <c:order val="0"/>
          <c:marker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'[1]TRT - 01'!$A$14:$A$18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'[1]TRT - 01'!$G$14:$G$18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C-42B7-9C94-5D8B69B2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Thermal Resistivity(°C-cm/W)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'[1]TRT - 01'!$A$14:$A$19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'[1]TRT - 01'!$P$14:$P$19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2-4831-A82E-593C46B5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DI!$A$14:$A$19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17.675544794188866</c:v>
                </c:pt>
              </c:numCache>
            </c:numRef>
          </c:xVal>
          <c:yVal>
            <c:numRef>
              <c:f>DI!$P$14:$P$19</c:f>
              <c:numCache>
                <c:formatCode>0.00</c:formatCode>
                <c:ptCount val="6"/>
                <c:pt idx="0">
                  <c:v>452.48868778280541</c:v>
                </c:pt>
                <c:pt idx="1">
                  <c:v>142.85714285714286</c:v>
                </c:pt>
                <c:pt idx="2">
                  <c:v>68.870523415977971</c:v>
                </c:pt>
                <c:pt idx="3">
                  <c:v>53.937432578209275</c:v>
                </c:pt>
                <c:pt idx="4">
                  <c:v>37.735849056603776</c:v>
                </c:pt>
                <c:pt idx="5">
                  <c:v>45.682960255824575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B-4708-82BD-3145A604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'15g_L Brine'!$A$14:$A$19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2.7930223441787532</c:v>
                </c:pt>
                <c:pt idx="2">
                  <c:v>5.5860446883575063</c:v>
                </c:pt>
                <c:pt idx="3">
                  <c:v>8.3790670325362591</c:v>
                </c:pt>
                <c:pt idx="4">
                  <c:v>11.172089376715013</c:v>
                </c:pt>
                <c:pt idx="5">
                  <c:v>21.14776985818208</c:v>
                </c:pt>
              </c:numCache>
            </c:numRef>
          </c:xVal>
          <c:yVal>
            <c:numRef>
              <c:f>'15g_L Brine'!$E$14:$E$19</c:f>
              <c:numCache>
                <c:formatCode>General</c:formatCode>
                <c:ptCount val="6"/>
                <c:pt idx="0">
                  <c:v>0.26140000000000002</c:v>
                </c:pt>
                <c:pt idx="1">
                  <c:v>0.43380000000000002</c:v>
                </c:pt>
                <c:pt idx="2">
                  <c:v>1.748</c:v>
                </c:pt>
                <c:pt idx="3">
                  <c:v>2.4670000000000001</c:v>
                </c:pt>
                <c:pt idx="4">
                  <c:v>3.069</c:v>
                </c:pt>
                <c:pt idx="5">
                  <c:v>2.1970000000000001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A-4D0A-9AD7-758CF20E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Conductivity(°W/mK)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2"/>
          <c:order val="0"/>
          <c:marker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'[1]TRT - 01'!$A$14:$A$18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'[1]TRT - 01'!$G$14:$G$18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F-4640-B028-E3E4236B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Thermal Resistivity(°C-cm/W)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Thermal Dry-out Curve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7729658792664"/>
          <c:y val="0.1901738845144357"/>
          <c:w val="0.77648381452318505"/>
          <c:h val="0.5910451297754445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'[1]TRT - 01'!$A$14:$A$19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'[1]TRT - 01'!$P$14:$P$19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8-43E2-9836-82930948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416"/>
        <c:axId val="39518976"/>
      </c:scatterChart>
      <c:valAx>
        <c:axId val="39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Moisture Content(%)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18976"/>
        <c:crosses val="autoZero"/>
        <c:crossBetween val="midCat"/>
        <c:majorUnit val="2"/>
      </c:valAx>
      <c:valAx>
        <c:axId val="395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Thermal Resistivity(°C-cm/W)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00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590814</xdr:colOff>
      <xdr:row>27</xdr:row>
      <xdr:rowOff>123188</xdr:rowOff>
    </xdr:from>
    <xdr:to>
      <xdr:col>13</xdr:col>
      <xdr:colOff>601496</xdr:colOff>
      <xdr:row>69</xdr:row>
      <xdr:rowOff>29105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27E0D-C510-437B-8D03-8D0D2A34B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952501</xdr:colOff>
      <xdr:row>61</xdr:row>
      <xdr:rowOff>42332</xdr:rowOff>
    </xdr:from>
    <xdr:to>
      <xdr:col>14</xdr:col>
      <xdr:colOff>254099</xdr:colOff>
      <xdr:row>102</xdr:row>
      <xdr:rowOff>117582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1F1E2-114F-4B26-B8D7-84B6671EB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E68F2-3192-4F6F-89D7-263088D96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2F073-B71E-47D4-80AE-38766100B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996DB-38E6-4A0C-8519-ABC4C78DC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B2929-3B40-4A97-A939-CBBFE83F9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DD0E7F-3ABB-4CCA-A9B0-7818FBA0D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A4EB3-2963-4E4C-8D7F-F5B4B18E7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52F2F-EC97-4E60-AD18-B50E0C2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52D02-856E-46B0-8C69-EE49A419B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D6917-5452-4A4E-A9B3-09A6E625E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700087</xdr:colOff>
      <xdr:row>29</xdr:row>
      <xdr:rowOff>140493</xdr:rowOff>
    </xdr:from>
    <xdr:to>
      <xdr:col>20</xdr:col>
      <xdr:colOff>64656</xdr:colOff>
      <xdr:row>71</xdr:row>
      <xdr:rowOff>25243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C2A7A-3030-42A0-B2A5-4190C346B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751417</xdr:colOff>
      <xdr:row>63</xdr:row>
      <xdr:rowOff>42333</xdr:rowOff>
    </xdr:from>
    <xdr:to>
      <xdr:col>20</xdr:col>
      <xdr:colOff>115986</xdr:colOff>
      <xdr:row>104</xdr:row>
      <xdr:rowOff>117583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4D6E9-E236-4C95-AA7D-80F2D94FB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63FCF-7036-4D81-9745-4362E6CEB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106E9-F34A-4258-8CEE-3E81D58DC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12E9F-C673-40F0-B731-8729F344E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7EDF3-335B-4F32-A2CD-FBDE4038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1E3462-238F-4136-9CB0-0E5B0CC61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09C57-F808-46F5-A423-F21E2B3D2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19FB1-9953-43B7-93FE-90595C212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64ADC-FB82-4CF2-BD50-29891E17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259080</xdr:colOff>
      <xdr:row>20</xdr:row>
      <xdr:rowOff>15240</xdr:rowOff>
    </xdr:from>
    <xdr:to>
      <xdr:col>4</xdr:col>
      <xdr:colOff>1247140</xdr:colOff>
      <xdr:row>40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CC838-DF41-4D38-919B-5F811CA2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adr\Downloads\Calculation%20Sheet%20-%20thermal%20-%20Blank%20(2).xlsx" TargetMode="External"/><Relationship Id="rId1" Type="http://schemas.openxmlformats.org/officeDocument/2006/relationships/externalLinkPath" Target="/Users/saadr/Downloads/Calculation%20Sheet%20-%20thermal%20-%20Blan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yin\Dropbox\Research\Soil%20Thermal%20Conductivity\Journal%201\Silt%20Clay_Thermal%20Calculations_ALL.xlsx" TargetMode="External"/><Relationship Id="rId1" Type="http://schemas.openxmlformats.org/officeDocument/2006/relationships/externalLinkPath" Target="/Users/doyin/Dropbox/Research/Soil%20Thermal%20Conductivity/Journal%201/Silt%20Clay_Thermal%20Calculations_AL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yin\Dropbox\Research\Soil%20Thermal%20Conductivity\Journal%201\Sand%20Soil_Thermal%20Calculations_ALL.xlsx" TargetMode="External"/><Relationship Id="rId1" Type="http://schemas.openxmlformats.org/officeDocument/2006/relationships/externalLinkPath" Target="/Users/doyin/Dropbox/Research/Soil%20Thermal%20Conductivity/Journal%201/Sand%20Soil_Thermal%20Calculations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T - 01"/>
    </sheetNames>
    <sheetDataSet>
      <sheetData sheetId="0">
        <row r="14">
          <cell r="A14">
            <v>0</v>
          </cell>
          <cell r="P14" t="e">
            <v>#DIV/0!</v>
          </cell>
        </row>
        <row r="15">
          <cell r="A15">
            <v>0</v>
          </cell>
          <cell r="P15" t="e">
            <v>#DIV/0!</v>
          </cell>
        </row>
        <row r="16">
          <cell r="A16">
            <v>0</v>
          </cell>
          <cell r="P16" t="e">
            <v>#DIV/0!</v>
          </cell>
        </row>
        <row r="17">
          <cell r="A17">
            <v>0</v>
          </cell>
          <cell r="P17" t="e">
            <v>#DIV/0!</v>
          </cell>
        </row>
        <row r="18">
          <cell r="A18">
            <v>0</v>
          </cell>
          <cell r="P18" t="e">
            <v>#DIV/0!</v>
          </cell>
        </row>
        <row r="19">
          <cell r="A19" t="e">
            <v>#DIV/0!</v>
          </cell>
          <cell r="P19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plots"/>
      <sheetName val="DI"/>
      <sheetName val="15g_L Brine"/>
      <sheetName val="30g_L Brine"/>
    </sheetNames>
    <sheetDataSet>
      <sheetData sheetId="0"/>
      <sheetData sheetId="1">
        <row r="14">
          <cell r="A14">
            <v>0</v>
          </cell>
          <cell r="P14">
            <v>302.20610456331218</v>
          </cell>
        </row>
        <row r="15">
          <cell r="A15">
            <v>3.9750000000000001</v>
          </cell>
          <cell r="P15">
            <v>210.39343572480539</v>
          </cell>
        </row>
        <row r="16">
          <cell r="A16">
            <v>7.95</v>
          </cell>
          <cell r="P16">
            <v>160.17940092904053</v>
          </cell>
        </row>
        <row r="17">
          <cell r="A17">
            <v>11.925000000000001</v>
          </cell>
          <cell r="P17">
            <v>98.911968348170149</v>
          </cell>
        </row>
        <row r="18">
          <cell r="A18">
            <v>15.9</v>
          </cell>
          <cell r="P18">
            <v>83.194675540765388</v>
          </cell>
        </row>
        <row r="19">
          <cell r="A19">
            <v>30.813793103448273</v>
          </cell>
          <cell r="P19">
            <v>100.15022533800702</v>
          </cell>
        </row>
      </sheetData>
      <sheetData sheetId="2">
        <row r="14">
          <cell r="A14">
            <v>0</v>
          </cell>
          <cell r="E14">
            <v>0.35649999999999998</v>
          </cell>
        </row>
        <row r="15">
          <cell r="A15">
            <v>3.9750000000000001</v>
          </cell>
          <cell r="E15">
            <v>0.54449999999999998</v>
          </cell>
        </row>
        <row r="16">
          <cell r="A16">
            <v>7.95</v>
          </cell>
          <cell r="E16">
            <v>0.74250000000000005</v>
          </cell>
        </row>
        <row r="17">
          <cell r="A17">
            <v>11.925000000000001</v>
          </cell>
          <cell r="E17">
            <v>1.0589999999999999</v>
          </cell>
        </row>
        <row r="18">
          <cell r="A18">
            <v>15.9</v>
          </cell>
          <cell r="E18">
            <v>1.2529999999999999</v>
          </cell>
        </row>
        <row r="19">
          <cell r="A19">
            <v>29.914961083885839</v>
          </cell>
          <cell r="E19">
            <v>1.036</v>
          </cell>
        </row>
      </sheetData>
      <sheetData sheetId="3">
        <row r="14">
          <cell r="A14">
            <v>0</v>
          </cell>
          <cell r="E14">
            <v>0.39510000000000001</v>
          </cell>
        </row>
        <row r="15">
          <cell r="A15">
            <v>3.9750000000000001</v>
          </cell>
          <cell r="E15">
            <v>0.48249999999999998</v>
          </cell>
        </row>
        <row r="16">
          <cell r="A16">
            <v>7.95</v>
          </cell>
          <cell r="E16">
            <v>0.82799999999999996</v>
          </cell>
        </row>
        <row r="17">
          <cell r="A17">
            <v>11.925000000000001</v>
          </cell>
          <cell r="E17">
            <v>0.99870000000000003</v>
          </cell>
        </row>
        <row r="18">
          <cell r="A18">
            <v>15.9</v>
          </cell>
          <cell r="E18">
            <v>1.389</v>
          </cell>
        </row>
        <row r="19">
          <cell r="A19">
            <v>29.801191512149394</v>
          </cell>
          <cell r="E19">
            <v>1.054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plots"/>
      <sheetName val="DI"/>
      <sheetName val="15g_L Brine"/>
      <sheetName val="30g_L Brine"/>
    </sheetNames>
    <sheetDataSet>
      <sheetData sheetId="0">
        <row r="14">
          <cell r="A14">
            <v>0</v>
          </cell>
          <cell r="P14">
            <v>452.48868778280541</v>
          </cell>
        </row>
        <row r="15">
          <cell r="A15">
            <v>2.7930223441787532</v>
          </cell>
          <cell r="P15">
            <v>142.85714285714286</v>
          </cell>
        </row>
        <row r="16">
          <cell r="A16">
            <v>5.5860446883575063</v>
          </cell>
          <cell r="P16">
            <v>68.870523415977971</v>
          </cell>
        </row>
        <row r="17">
          <cell r="A17">
            <v>8.3790670325362591</v>
          </cell>
          <cell r="P17">
            <v>53.937432578209275</v>
          </cell>
        </row>
        <row r="18">
          <cell r="A18">
            <v>11.172089376715013</v>
          </cell>
          <cell r="P18">
            <v>37.735849056603776</v>
          </cell>
        </row>
        <row r="19">
          <cell r="A19">
            <v>17.675544794188866</v>
          </cell>
          <cell r="P19">
            <v>45.682960255824575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E61C-F800-438C-B3D9-E858CAC59980}">
  <dimension ref="A1:F5"/>
  <sheetViews>
    <sheetView workbookViewId="0">
      <selection activeCell="H11" sqref="H11"/>
    </sheetView>
  </sheetViews>
  <sheetFormatPr defaultRowHeight="15" x14ac:dyDescent="0.25"/>
  <cols>
    <col min="1" max="1" width="13.7109375" style="28" customWidth="1"/>
    <col min="2" max="2" width="16" style="28" customWidth="1"/>
    <col min="3" max="3" width="22" style="28" customWidth="1"/>
    <col min="4" max="4" width="13.7109375" style="28" customWidth="1"/>
    <col min="5" max="5" width="14" style="28" customWidth="1"/>
    <col min="6" max="6" width="19.28515625" style="28" customWidth="1"/>
    <col min="7" max="16384" width="9.140625" style="28"/>
  </cols>
  <sheetData>
    <row r="1" spans="1:6" ht="33.75" customHeight="1" thickBot="1" x14ac:dyDescent="0.3">
      <c r="A1" s="38" t="s">
        <v>44</v>
      </c>
      <c r="B1" s="39" t="s">
        <v>44</v>
      </c>
      <c r="C1" s="40" t="s">
        <v>44</v>
      </c>
      <c r="D1" s="38" t="s">
        <v>45</v>
      </c>
      <c r="E1" s="39" t="s">
        <v>45</v>
      </c>
      <c r="F1" s="40" t="s">
        <v>45</v>
      </c>
    </row>
    <row r="2" spans="1:6" ht="63.75" customHeight="1" x14ac:dyDescent="0.25">
      <c r="A2" s="35" t="s">
        <v>41</v>
      </c>
      <c r="B2" s="36" t="s">
        <v>42</v>
      </c>
      <c r="C2" s="37" t="s">
        <v>43</v>
      </c>
      <c r="D2" s="35" t="s">
        <v>41</v>
      </c>
      <c r="E2" s="36" t="s">
        <v>42</v>
      </c>
      <c r="F2" s="37" t="s">
        <v>43</v>
      </c>
    </row>
    <row r="3" spans="1:6" x14ac:dyDescent="0.25">
      <c r="A3" s="30">
        <v>0</v>
      </c>
      <c r="B3" s="29">
        <v>1.66</v>
      </c>
      <c r="C3" s="31">
        <v>2.65</v>
      </c>
      <c r="D3" s="30">
        <v>0</v>
      </c>
      <c r="E3" s="29">
        <v>0.83</v>
      </c>
      <c r="F3" s="31">
        <v>1.2</v>
      </c>
    </row>
    <row r="4" spans="1:6" x14ac:dyDescent="0.25">
      <c r="A4" s="30">
        <v>15</v>
      </c>
      <c r="B4" s="29">
        <v>1.93</v>
      </c>
      <c r="C4" s="31">
        <v>3.1</v>
      </c>
      <c r="D4" s="30">
        <v>15</v>
      </c>
      <c r="E4" s="29">
        <v>0.9</v>
      </c>
      <c r="F4" s="31">
        <v>1.25</v>
      </c>
    </row>
    <row r="5" spans="1:6" ht="15.75" thickBot="1" x14ac:dyDescent="0.3">
      <c r="A5" s="32">
        <v>30</v>
      </c>
      <c r="B5" s="33">
        <v>1.69</v>
      </c>
      <c r="C5" s="34">
        <v>2.2000000000000002</v>
      </c>
      <c r="D5" s="32">
        <v>30</v>
      </c>
      <c r="E5" s="33">
        <v>0.92</v>
      </c>
      <c r="F5" s="34">
        <v>1.39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849C-8536-4534-BAEE-054C565D1840}">
  <dimension ref="A3:Q28"/>
  <sheetViews>
    <sheetView tabSelected="1" topLeftCell="A57" zoomScale="90" zoomScaleNormal="90" workbookViewId="0">
      <selection activeCell="O70" sqref="O70"/>
    </sheetView>
  </sheetViews>
  <sheetFormatPr defaultColWidth="8.85546875" defaultRowHeight="15" x14ac:dyDescent="0.25"/>
  <cols>
    <col min="1" max="1" width="24.7109375" style="2" customWidth="1"/>
    <col min="2" max="2" width="19.7109375" style="2" customWidth="1"/>
    <col min="3" max="3" width="18.28515625" style="2" customWidth="1"/>
    <col min="4" max="4" width="23.28515625" style="2" customWidth="1"/>
    <col min="5" max="7" width="18.28515625" style="2" customWidth="1"/>
    <col min="8" max="8" width="13.140625" style="2" customWidth="1"/>
    <col min="9" max="9" width="8.85546875" style="2"/>
    <col min="10" max="10" width="11.7109375" style="2" customWidth="1"/>
    <col min="11" max="11" width="13" style="2" customWidth="1"/>
    <col min="12" max="12" width="12.7109375" style="2" customWidth="1"/>
    <col min="13" max="13" width="11.7109375" style="2" customWidth="1"/>
    <col min="14" max="14" width="10.5703125" style="2" customWidth="1"/>
    <col min="15" max="15" width="12.5703125" style="2" customWidth="1"/>
    <col min="16" max="16" width="11.42578125" style="2" customWidth="1"/>
    <col min="17" max="16384" width="8.85546875" style="2"/>
  </cols>
  <sheetData>
    <row r="3" spans="1:17" ht="13.9" x14ac:dyDescent="0.25">
      <c r="A3" s="1" t="s">
        <v>0</v>
      </c>
      <c r="B3" s="4">
        <f>Q7*100</f>
        <v>11.172089376715013</v>
      </c>
      <c r="C3" s="1" t="s">
        <v>1</v>
      </c>
      <c r="D3" s="1" t="s">
        <v>2</v>
      </c>
      <c r="E3" s="1">
        <v>333.7</v>
      </c>
      <c r="G3" s="3" t="s">
        <v>3</v>
      </c>
      <c r="K3" s="1" t="s">
        <v>31</v>
      </c>
      <c r="L3" s="19">
        <v>9.2620000000000005</v>
      </c>
      <c r="M3" s="20" t="s">
        <v>32</v>
      </c>
      <c r="N3" s="19">
        <v>3.3300000000000003E-2</v>
      </c>
      <c r="P3" s="21" t="s">
        <v>35</v>
      </c>
      <c r="Q3" s="19">
        <v>144.4</v>
      </c>
    </row>
    <row r="4" spans="1:17" ht="13.9" x14ac:dyDescent="0.25">
      <c r="A4" s="1" t="s">
        <v>4</v>
      </c>
      <c r="B4" s="1">
        <f>L8</f>
        <v>103.88893124436143</v>
      </c>
      <c r="C4" s="1" t="s">
        <v>5</v>
      </c>
      <c r="D4" s="1" t="s">
        <v>6</v>
      </c>
      <c r="E4" s="1">
        <v>2909.5</v>
      </c>
      <c r="G4" s="2" t="s">
        <v>7</v>
      </c>
      <c r="H4" s="2">
        <v>3</v>
      </c>
      <c r="I4" s="2" t="s">
        <v>8</v>
      </c>
      <c r="K4" s="1" t="s">
        <v>33</v>
      </c>
      <c r="L4" s="19">
        <v>14.4</v>
      </c>
      <c r="M4" s="20" t="s">
        <v>32</v>
      </c>
      <c r="N4" s="19">
        <v>7.4999999999999997E-2</v>
      </c>
      <c r="P4" s="21" t="s">
        <v>38</v>
      </c>
      <c r="Q4" s="19">
        <v>711.6</v>
      </c>
    </row>
    <row r="5" spans="1:17" ht="13.9" x14ac:dyDescent="0.25">
      <c r="A5" s="1" t="s">
        <v>9</v>
      </c>
      <c r="B5" s="1">
        <v>0.9</v>
      </c>
      <c r="C5" s="1"/>
      <c r="D5" s="1" t="s">
        <v>10</v>
      </c>
      <c r="E5" s="1">
        <v>2522.6</v>
      </c>
      <c r="G5" s="2" t="s">
        <v>11</v>
      </c>
      <c r="H5" s="2">
        <v>6</v>
      </c>
      <c r="I5" s="2" t="s">
        <v>8</v>
      </c>
      <c r="P5" s="21" t="s">
        <v>39</v>
      </c>
      <c r="Q5" s="19">
        <v>654.6</v>
      </c>
    </row>
    <row r="6" spans="1:17" ht="16.899999999999999" x14ac:dyDescent="0.25">
      <c r="A6" s="1" t="s">
        <v>12</v>
      </c>
      <c r="B6" s="1">
        <f>B5*B4</f>
        <v>93.500038119925293</v>
      </c>
      <c r="C6" s="1" t="s">
        <v>5</v>
      </c>
      <c r="D6" s="1" t="s">
        <v>13</v>
      </c>
      <c r="E6" s="4">
        <f>(((E4-E3)-(E5-E3))/(E5-E3))*100</f>
        <v>17.675544794188866</v>
      </c>
      <c r="G6" s="2" t="s">
        <v>14</v>
      </c>
      <c r="H6" s="2">
        <f>3.14*H4*H4*H5/4</f>
        <v>42.39</v>
      </c>
      <c r="I6" s="2" t="s">
        <v>15</v>
      </c>
      <c r="K6" s="21" t="s">
        <v>34</v>
      </c>
      <c r="L6" s="19">
        <v>13.108000000000001</v>
      </c>
    </row>
    <row r="7" spans="1:17" ht="16.899999999999999" x14ac:dyDescent="0.25">
      <c r="H7" s="2">
        <f>H6/(12)^3</f>
        <v>2.4531250000000001E-2</v>
      </c>
      <c r="I7" s="2" t="s">
        <v>16</v>
      </c>
      <c r="K7" s="21" t="s">
        <v>36</v>
      </c>
      <c r="L7" s="19">
        <f>(L6-L3)/N3</f>
        <v>115.49549549549549</v>
      </c>
      <c r="P7" s="19" t="s">
        <v>40</v>
      </c>
      <c r="Q7" s="19">
        <f>(Q4-Q5)/(Q5-Q3)</f>
        <v>0.11172089376715012</v>
      </c>
    </row>
    <row r="8" spans="1:17" ht="13.9" x14ac:dyDescent="0.25">
      <c r="E8" s="2">
        <v>21.3</v>
      </c>
      <c r="K8" s="21" t="s">
        <v>37</v>
      </c>
      <c r="L8" s="19">
        <f>L7/(1+Q7)</f>
        <v>103.88893124436143</v>
      </c>
    </row>
    <row r="10" spans="1:17" ht="13.9" x14ac:dyDescent="0.25">
      <c r="M10" s="5"/>
    </row>
    <row r="13" spans="1:17" s="7" customFormat="1" ht="57" x14ac:dyDescent="0.25">
      <c r="A13" s="6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J13" s="6" t="s">
        <v>24</v>
      </c>
      <c r="K13" s="6" t="s">
        <v>25</v>
      </c>
      <c r="L13" s="6" t="s">
        <v>26</v>
      </c>
      <c r="M13" s="6" t="s">
        <v>27</v>
      </c>
      <c r="N13" s="6" t="s">
        <v>28</v>
      </c>
      <c r="O13" s="6" t="s">
        <v>29</v>
      </c>
      <c r="P13" s="6" t="s">
        <v>30</v>
      </c>
    </row>
    <row r="14" spans="1:17" s="12" customFormat="1" ht="13.9" x14ac:dyDescent="0.25">
      <c r="A14" s="8">
        <f>0*B3</f>
        <v>0</v>
      </c>
      <c r="B14" s="9">
        <f t="shared" ref="B14:B19" si="0">$B$6*(1+0.01*A14)*$H$7*453.592</f>
        <v>1040.3916372922226</v>
      </c>
      <c r="C14" s="9">
        <f t="shared" ref="C14:C19" si="1">A14*B14/100</f>
        <v>0</v>
      </c>
      <c r="D14" s="9">
        <f t="shared" ref="D14:D19" si="2">B14-C14</f>
        <v>1040.3916372922226</v>
      </c>
      <c r="E14" s="8">
        <v>0.221</v>
      </c>
      <c r="F14" s="10">
        <f t="shared" ref="F14:F19" si="3">(1/E14)*100</f>
        <v>452.48868778280541</v>
      </c>
      <c r="G14" s="8">
        <v>21.9</v>
      </c>
      <c r="H14" s="11"/>
      <c r="J14" s="10"/>
      <c r="K14" s="9">
        <f t="shared" ref="K14:K19" si="4">B14-J14</f>
        <v>1040.3916372922226</v>
      </c>
      <c r="L14" s="13">
        <f t="shared" ref="L14:L19" si="5">K14/B14</f>
        <v>1</v>
      </c>
      <c r="M14" s="13">
        <f t="shared" ref="M14:M19" si="6">$B$5*L14</f>
        <v>0.9</v>
      </c>
      <c r="N14" s="8">
        <f t="shared" ref="N14:N19" si="7">$B$5/M14</f>
        <v>1</v>
      </c>
      <c r="O14" s="14">
        <f t="shared" ref="O14:O19" si="8">E14*N14</f>
        <v>0.221</v>
      </c>
      <c r="P14" s="15">
        <f t="shared" ref="P14:P19" si="9">(1/O14)*100</f>
        <v>452.48868778280541</v>
      </c>
    </row>
    <row r="15" spans="1:17" s="12" customFormat="1" ht="13.9" x14ac:dyDescent="0.25">
      <c r="A15" s="18">
        <f>0.25*$B$3</f>
        <v>2.7930223441787532</v>
      </c>
      <c r="B15" s="9">
        <f t="shared" si="0"/>
        <v>1069.4500081887616</v>
      </c>
      <c r="C15" s="9">
        <f t="shared" si="1"/>
        <v>29.869977688533616</v>
      </c>
      <c r="D15" s="9">
        <f t="shared" si="2"/>
        <v>1039.5800305002278</v>
      </c>
      <c r="E15" s="8">
        <v>0.7</v>
      </c>
      <c r="F15" s="10">
        <f t="shared" si="3"/>
        <v>142.85714285714286</v>
      </c>
      <c r="G15" s="8">
        <v>22.8</v>
      </c>
      <c r="H15" s="16">
        <f>C15</f>
        <v>29.869977688533616</v>
      </c>
      <c r="J15" s="10"/>
      <c r="K15" s="9">
        <f t="shared" si="4"/>
        <v>1069.4500081887616</v>
      </c>
      <c r="L15" s="13">
        <f t="shared" si="5"/>
        <v>1</v>
      </c>
      <c r="M15" s="13">
        <f t="shared" si="6"/>
        <v>0.9</v>
      </c>
      <c r="N15" s="8">
        <f t="shared" si="7"/>
        <v>1</v>
      </c>
      <c r="O15" s="14">
        <f t="shared" si="8"/>
        <v>0.7</v>
      </c>
      <c r="P15" s="15">
        <f t="shared" si="9"/>
        <v>142.85714285714286</v>
      </c>
    </row>
    <row r="16" spans="1:17" s="12" customFormat="1" ht="13.9" x14ac:dyDescent="0.25">
      <c r="A16" s="18">
        <f>0.5*B3</f>
        <v>5.5860446883575063</v>
      </c>
      <c r="B16" s="9">
        <f t="shared" si="0"/>
        <v>1098.5083790853005</v>
      </c>
      <c r="C16" s="9">
        <f t="shared" si="1"/>
        <v>61.363168961056573</v>
      </c>
      <c r="D16" s="9">
        <f t="shared" si="2"/>
        <v>1037.1452101242439</v>
      </c>
      <c r="E16" s="8">
        <v>1.452</v>
      </c>
      <c r="F16" s="10">
        <f t="shared" si="3"/>
        <v>68.870523415977971</v>
      </c>
      <c r="G16" s="8">
        <v>21.5</v>
      </c>
      <c r="H16" s="16">
        <f>C16-C15</f>
        <v>31.493191272522957</v>
      </c>
      <c r="J16" s="10"/>
      <c r="K16" s="9">
        <f t="shared" si="4"/>
        <v>1098.5083790853005</v>
      </c>
      <c r="L16" s="13">
        <f t="shared" si="5"/>
        <v>1</v>
      </c>
      <c r="M16" s="13">
        <f t="shared" si="6"/>
        <v>0.9</v>
      </c>
      <c r="N16" s="8">
        <f t="shared" si="7"/>
        <v>1</v>
      </c>
      <c r="O16" s="14">
        <f t="shared" si="8"/>
        <v>1.452</v>
      </c>
      <c r="P16" s="15">
        <f t="shared" si="9"/>
        <v>68.870523415977971</v>
      </c>
    </row>
    <row r="17" spans="1:16" s="12" customFormat="1" ht="13.9" x14ac:dyDescent="0.25">
      <c r="A17" s="18">
        <f>0.75*B3</f>
        <v>8.3790670325362591</v>
      </c>
      <c r="B17" s="9">
        <f t="shared" si="0"/>
        <v>1127.5667499818394</v>
      </c>
      <c r="C17" s="9">
        <f t="shared" si="1"/>
        <v>94.479573817568848</v>
      </c>
      <c r="D17" s="9">
        <f t="shared" si="2"/>
        <v>1033.0871761642707</v>
      </c>
      <c r="E17" s="8">
        <v>1.8540000000000001</v>
      </c>
      <c r="F17" s="10">
        <f t="shared" si="3"/>
        <v>53.937432578209275</v>
      </c>
      <c r="G17" s="8">
        <v>20.5</v>
      </c>
      <c r="H17" s="16">
        <f>C17-C16</f>
        <v>33.116404856512276</v>
      </c>
      <c r="J17" s="10"/>
      <c r="K17" s="9">
        <f t="shared" si="4"/>
        <v>1127.5667499818394</v>
      </c>
      <c r="L17" s="13">
        <f t="shared" si="5"/>
        <v>1</v>
      </c>
      <c r="M17" s="13">
        <f t="shared" si="6"/>
        <v>0.9</v>
      </c>
      <c r="N17" s="8">
        <f t="shared" si="7"/>
        <v>1</v>
      </c>
      <c r="O17" s="14">
        <f t="shared" si="8"/>
        <v>1.8540000000000001</v>
      </c>
      <c r="P17" s="15">
        <f t="shared" si="9"/>
        <v>53.937432578209275</v>
      </c>
    </row>
    <row r="18" spans="1:16" s="12" customFormat="1" ht="13.9" x14ac:dyDescent="0.25">
      <c r="A18" s="18">
        <f>1*B3</f>
        <v>11.172089376715013</v>
      </c>
      <c r="B18" s="9">
        <f t="shared" si="0"/>
        <v>1156.6251208783785</v>
      </c>
      <c r="C18" s="9">
        <f t="shared" si="1"/>
        <v>129.21919225807051</v>
      </c>
      <c r="D18" s="9">
        <f t="shared" si="2"/>
        <v>1027.405928620308</v>
      </c>
      <c r="E18" s="8">
        <v>2.65</v>
      </c>
      <c r="F18" s="17">
        <f t="shared" si="3"/>
        <v>37.735849056603776</v>
      </c>
      <c r="G18" s="8">
        <v>20.3</v>
      </c>
      <c r="H18" s="16">
        <f>C18-C17</f>
        <v>34.739618440501658</v>
      </c>
      <c r="J18" s="10"/>
      <c r="K18" s="9">
        <f t="shared" si="4"/>
        <v>1156.6251208783785</v>
      </c>
      <c r="L18" s="13">
        <f t="shared" si="5"/>
        <v>1</v>
      </c>
      <c r="M18" s="13">
        <f t="shared" si="6"/>
        <v>0.9</v>
      </c>
      <c r="N18" s="8">
        <f t="shared" si="7"/>
        <v>1</v>
      </c>
      <c r="O18" s="14">
        <f t="shared" si="8"/>
        <v>2.65</v>
      </c>
      <c r="P18" s="15">
        <f t="shared" si="9"/>
        <v>37.735849056603776</v>
      </c>
    </row>
    <row r="19" spans="1:16" ht="13.9" x14ac:dyDescent="0.25">
      <c r="A19" s="18">
        <f>E6</f>
        <v>17.675544794188866</v>
      </c>
      <c r="B19" s="9">
        <f t="shared" si="0"/>
        <v>1224.2865271768046</v>
      </c>
      <c r="C19" s="9">
        <f t="shared" si="1"/>
        <v>216.39931352035535</v>
      </c>
      <c r="D19" s="9">
        <f t="shared" si="2"/>
        <v>1007.8872136564493</v>
      </c>
      <c r="E19" s="8">
        <v>2.1890000000000001</v>
      </c>
      <c r="F19" s="17">
        <f t="shared" si="3"/>
        <v>45.682960255824575</v>
      </c>
      <c r="G19" s="8">
        <v>20.2</v>
      </c>
      <c r="H19" s="16">
        <f>C19-C18</f>
        <v>87.180121262284842</v>
      </c>
      <c r="J19" s="10"/>
      <c r="K19" s="9">
        <f t="shared" si="4"/>
        <v>1224.2865271768046</v>
      </c>
      <c r="L19" s="13">
        <f t="shared" si="5"/>
        <v>1</v>
      </c>
      <c r="M19" s="13">
        <f t="shared" si="6"/>
        <v>0.9</v>
      </c>
      <c r="N19" s="8">
        <f t="shared" si="7"/>
        <v>1</v>
      </c>
      <c r="O19" s="14">
        <f t="shared" si="8"/>
        <v>2.1890000000000001</v>
      </c>
      <c r="P19" s="15">
        <f t="shared" si="9"/>
        <v>45.682960255824575</v>
      </c>
    </row>
    <row r="22" spans="1:16" ht="13.9" x14ac:dyDescent="0.25">
      <c r="G22" s="22">
        <v>0.85</v>
      </c>
      <c r="H22" s="22">
        <v>0.05</v>
      </c>
      <c r="J22" s="22">
        <v>0.05</v>
      </c>
      <c r="K22" s="22">
        <v>0.9</v>
      </c>
    </row>
    <row r="23" spans="1:16" ht="13.9" x14ac:dyDescent="0.25">
      <c r="G23" s="23">
        <v>477.0992366412213</v>
      </c>
      <c r="H23" s="2">
        <v>20.9</v>
      </c>
      <c r="I23" s="2">
        <v>369.96</v>
      </c>
      <c r="J23" s="23">
        <f>G23*(5/100)</f>
        <v>23.854961832061065</v>
      </c>
      <c r="K23" s="23">
        <f>G23-J23</f>
        <v>453.24427480916023</v>
      </c>
      <c r="L23" s="2">
        <f>(1/K23)*100</f>
        <v>0.22063157894736846</v>
      </c>
    </row>
    <row r="24" spans="1:16" ht="13.9" x14ac:dyDescent="0.25">
      <c r="G24" s="23">
        <v>150.37593984962405</v>
      </c>
      <c r="H24" s="2">
        <v>21.8</v>
      </c>
      <c r="J24" s="23">
        <f t="shared" ref="J24:J28" si="10">G24*(5/100)</f>
        <v>7.518796992481203</v>
      </c>
      <c r="K24" s="23">
        <f t="shared" ref="K24:K28" si="11">G24-J24</f>
        <v>142.85714285714283</v>
      </c>
      <c r="L24" s="2">
        <f t="shared" ref="L24:L28" si="12">(1/K24)*100</f>
        <v>0.70000000000000007</v>
      </c>
    </row>
    <row r="25" spans="1:16" ht="13.9" x14ac:dyDescent="0.25">
      <c r="G25" s="23">
        <v>72.516316171138513</v>
      </c>
      <c r="H25" s="2">
        <v>21.8</v>
      </c>
      <c r="J25" s="23">
        <f t="shared" si="10"/>
        <v>3.6258158085569256</v>
      </c>
      <c r="K25" s="23">
        <f t="shared" si="11"/>
        <v>68.890500362581591</v>
      </c>
      <c r="L25" s="2">
        <f t="shared" si="12"/>
        <v>1.4515789473684209</v>
      </c>
    </row>
    <row r="26" spans="1:16" ht="13.9" x14ac:dyDescent="0.25">
      <c r="G26" s="23">
        <v>56.785917092561043</v>
      </c>
      <c r="H26" s="2">
        <v>21.7</v>
      </c>
      <c r="J26" s="23">
        <f t="shared" si="10"/>
        <v>2.8392958546280522</v>
      </c>
      <c r="K26" s="23">
        <f t="shared" si="11"/>
        <v>53.946621237932987</v>
      </c>
      <c r="L26" s="2">
        <f t="shared" si="12"/>
        <v>1.853684210526316</v>
      </c>
    </row>
    <row r="27" spans="1:16" ht="13.9" x14ac:dyDescent="0.25">
      <c r="G27" s="23">
        <v>39.61965134706815</v>
      </c>
      <c r="H27" s="2">
        <v>21.7</v>
      </c>
      <c r="J27" s="23">
        <f t="shared" si="10"/>
        <v>1.9809825673534076</v>
      </c>
      <c r="K27" s="23">
        <f t="shared" si="11"/>
        <v>37.638668779714742</v>
      </c>
      <c r="L27" s="2">
        <f t="shared" si="12"/>
        <v>2.6568421052631579</v>
      </c>
    </row>
    <row r="28" spans="1:16" ht="13.9" x14ac:dyDescent="0.25">
      <c r="G28" s="23">
        <v>48.076923076923073</v>
      </c>
      <c r="H28" s="2">
        <v>20.100000000000001</v>
      </c>
      <c r="J28" s="23">
        <f t="shared" si="10"/>
        <v>2.4038461538461537</v>
      </c>
      <c r="K28" s="23">
        <f t="shared" si="11"/>
        <v>45.67307692307692</v>
      </c>
      <c r="L28" s="2">
        <f t="shared" si="12"/>
        <v>2.1894736842105265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5138-B56A-4BA8-8FE4-10794484CCF7}">
  <dimension ref="A3:Q28"/>
  <sheetViews>
    <sheetView topLeftCell="A10" workbookViewId="0">
      <selection activeCell="E15" sqref="E15:E18"/>
    </sheetView>
  </sheetViews>
  <sheetFormatPr defaultColWidth="8.85546875" defaultRowHeight="15" x14ac:dyDescent="0.25"/>
  <cols>
    <col min="1" max="1" width="24.7109375" style="2" customWidth="1"/>
    <col min="2" max="2" width="19.7109375" style="2" customWidth="1"/>
    <col min="3" max="3" width="18.28515625" style="2" customWidth="1"/>
    <col min="4" max="4" width="23.28515625" style="2" customWidth="1"/>
    <col min="5" max="7" width="18.28515625" style="2" customWidth="1"/>
    <col min="8" max="8" width="13.140625" style="2" customWidth="1"/>
    <col min="9" max="9" width="8.85546875" style="2"/>
    <col min="10" max="10" width="11.7109375" style="2" customWidth="1"/>
    <col min="11" max="11" width="13" style="2" customWidth="1"/>
    <col min="12" max="12" width="12.7109375" style="2" customWidth="1"/>
    <col min="13" max="13" width="11.7109375" style="2" customWidth="1"/>
    <col min="14" max="14" width="10.5703125" style="2" customWidth="1"/>
    <col min="15" max="15" width="12.5703125" style="2" customWidth="1"/>
    <col min="16" max="16" width="11.42578125" style="2" customWidth="1"/>
    <col min="17" max="16384" width="8.85546875" style="2"/>
  </cols>
  <sheetData>
    <row r="3" spans="1:17" ht="13.9" x14ac:dyDescent="0.25">
      <c r="A3" s="1" t="s">
        <v>0</v>
      </c>
      <c r="B3" s="4">
        <f>Q7*100</f>
        <v>11.172089376715013</v>
      </c>
      <c r="C3" s="1" t="s">
        <v>1</v>
      </c>
      <c r="D3" s="1" t="s">
        <v>2</v>
      </c>
      <c r="E3" s="1">
        <v>333.7</v>
      </c>
      <c r="G3" s="3" t="s">
        <v>3</v>
      </c>
      <c r="K3" s="1" t="s">
        <v>31</v>
      </c>
      <c r="L3" s="19">
        <v>9.2620000000000005</v>
      </c>
      <c r="M3" s="20" t="s">
        <v>32</v>
      </c>
      <c r="N3" s="19">
        <v>3.3300000000000003E-2</v>
      </c>
      <c r="P3" s="21" t="s">
        <v>35</v>
      </c>
      <c r="Q3" s="19">
        <v>144.4</v>
      </c>
    </row>
    <row r="4" spans="1:17" ht="13.9" x14ac:dyDescent="0.25">
      <c r="A4" s="1" t="s">
        <v>4</v>
      </c>
      <c r="B4" s="1">
        <f>L8</f>
        <v>103.88893124436143</v>
      </c>
      <c r="C4" s="1" t="s">
        <v>5</v>
      </c>
      <c r="D4" s="1" t="s">
        <v>6</v>
      </c>
      <c r="E4" s="1">
        <v>2909.5</v>
      </c>
      <c r="G4" s="2" t="s">
        <v>7</v>
      </c>
      <c r="H4" s="2">
        <v>3</v>
      </c>
      <c r="I4" s="2" t="s">
        <v>8</v>
      </c>
      <c r="K4" s="1" t="s">
        <v>33</v>
      </c>
      <c r="L4" s="19">
        <v>14.4</v>
      </c>
      <c r="M4" s="20" t="s">
        <v>32</v>
      </c>
      <c r="N4" s="19">
        <v>7.4999999999999997E-2</v>
      </c>
      <c r="P4" s="21" t="s">
        <v>38</v>
      </c>
      <c r="Q4" s="19">
        <v>711.6</v>
      </c>
    </row>
    <row r="5" spans="1:17" ht="13.9" x14ac:dyDescent="0.25">
      <c r="A5" s="1" t="s">
        <v>9</v>
      </c>
      <c r="B5" s="1">
        <v>0.9</v>
      </c>
      <c r="C5" s="1"/>
      <c r="D5" s="1" t="s">
        <v>10</v>
      </c>
      <c r="E5" s="1">
        <v>2522.6</v>
      </c>
      <c r="G5" s="2" t="s">
        <v>11</v>
      </c>
      <c r="H5" s="2">
        <v>6</v>
      </c>
      <c r="I5" s="2" t="s">
        <v>8</v>
      </c>
      <c r="P5" s="21" t="s">
        <v>39</v>
      </c>
      <c r="Q5" s="19">
        <v>654.6</v>
      </c>
    </row>
    <row r="6" spans="1:17" ht="16.899999999999999" x14ac:dyDescent="0.25">
      <c r="A6" s="1" t="s">
        <v>12</v>
      </c>
      <c r="B6" s="1">
        <f>B5*B4</f>
        <v>93.500038119925293</v>
      </c>
      <c r="C6" s="1" t="s">
        <v>5</v>
      </c>
      <c r="D6" s="1" t="s">
        <v>13</v>
      </c>
      <c r="E6" s="4">
        <f>(((E4-E3)-(E5-E3))/(E5-E3))*100</f>
        <v>17.675544794188866</v>
      </c>
      <c r="G6" s="2" t="s">
        <v>14</v>
      </c>
      <c r="H6" s="2">
        <f>3.14*H4*H4*H5/4</f>
        <v>42.39</v>
      </c>
      <c r="I6" s="2" t="s">
        <v>15</v>
      </c>
      <c r="K6" s="21" t="s">
        <v>34</v>
      </c>
      <c r="L6" s="19">
        <v>13.108000000000001</v>
      </c>
    </row>
    <row r="7" spans="1:17" ht="16.899999999999999" x14ac:dyDescent="0.25">
      <c r="H7" s="2">
        <f>H6/(12)^3</f>
        <v>2.4531250000000001E-2</v>
      </c>
      <c r="I7" s="2" t="s">
        <v>16</v>
      </c>
      <c r="K7" s="21" t="s">
        <v>36</v>
      </c>
      <c r="L7" s="19">
        <f>(L6-L3)/N3</f>
        <v>115.49549549549549</v>
      </c>
      <c r="P7" s="19" t="s">
        <v>40</v>
      </c>
      <c r="Q7" s="19">
        <f>(Q4-Q5)/(Q5-Q3)</f>
        <v>0.11172089376715012</v>
      </c>
    </row>
    <row r="8" spans="1:17" ht="13.9" x14ac:dyDescent="0.25">
      <c r="E8" s="2">
        <v>21.3</v>
      </c>
      <c r="K8" s="21" t="s">
        <v>37</v>
      </c>
      <c r="L8" s="19">
        <f>L7/(1+Q7)</f>
        <v>103.88893124436143</v>
      </c>
    </row>
    <row r="10" spans="1:17" ht="13.9" x14ac:dyDescent="0.25">
      <c r="M10" s="5"/>
    </row>
    <row r="13" spans="1:17" s="7" customFormat="1" ht="57" x14ac:dyDescent="0.25">
      <c r="A13" s="6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J13" s="6" t="s">
        <v>24</v>
      </c>
      <c r="K13" s="6" t="s">
        <v>25</v>
      </c>
      <c r="L13" s="6" t="s">
        <v>26</v>
      </c>
      <c r="M13" s="6" t="s">
        <v>27</v>
      </c>
      <c r="N13" s="6" t="s">
        <v>28</v>
      </c>
      <c r="O13" s="6" t="s">
        <v>29</v>
      </c>
      <c r="P13" s="6" t="s">
        <v>30</v>
      </c>
    </row>
    <row r="14" spans="1:17" s="12" customFormat="1" ht="13.9" x14ac:dyDescent="0.25">
      <c r="A14" s="8">
        <f>0*B3</f>
        <v>0</v>
      </c>
      <c r="B14" s="9">
        <f t="shared" ref="B14:B19" si="0">$B$6*(1+0.01*A14)*$H$7*453.592</f>
        <v>1040.3916372922226</v>
      </c>
      <c r="C14" s="9">
        <f t="shared" ref="C14:C19" si="1">A14*B14/100</f>
        <v>0</v>
      </c>
      <c r="D14" s="9">
        <f t="shared" ref="D14:D19" si="2">B14-C14</f>
        <v>1040.3916372922226</v>
      </c>
      <c r="E14" s="8">
        <v>0.221</v>
      </c>
      <c r="F14" s="10">
        <f t="shared" ref="F14:F19" si="3">(1/E14)*100</f>
        <v>452.48868778280541</v>
      </c>
      <c r="G14" s="8">
        <v>21.9</v>
      </c>
      <c r="H14" s="11"/>
      <c r="J14" s="10"/>
      <c r="K14" s="9">
        <f t="shared" ref="K14:K19" si="4">B14-J14</f>
        <v>1040.3916372922226</v>
      </c>
      <c r="L14" s="13">
        <f t="shared" ref="L14:L19" si="5">K14/B14</f>
        <v>1</v>
      </c>
      <c r="M14" s="13">
        <f t="shared" ref="M14:M19" si="6">$B$5*L14</f>
        <v>0.9</v>
      </c>
      <c r="N14" s="8">
        <f t="shared" ref="N14:N19" si="7">$B$5/M14</f>
        <v>1</v>
      </c>
      <c r="O14" s="14">
        <f t="shared" ref="O14:O19" si="8">E14*N14</f>
        <v>0.221</v>
      </c>
      <c r="P14" s="15">
        <f t="shared" ref="P14:P19" si="9">(1/O14)*100</f>
        <v>452.48868778280541</v>
      </c>
    </row>
    <row r="15" spans="1:17" s="12" customFormat="1" ht="13.9" x14ac:dyDescent="0.25">
      <c r="A15" s="18">
        <f>0.25*$B$3</f>
        <v>2.7930223441787532</v>
      </c>
      <c r="B15" s="9">
        <f t="shared" si="0"/>
        <v>1069.4500081887616</v>
      </c>
      <c r="C15" s="9">
        <f t="shared" si="1"/>
        <v>29.869977688533616</v>
      </c>
      <c r="D15" s="9">
        <f t="shared" si="2"/>
        <v>1039.5800305002278</v>
      </c>
      <c r="E15" s="8">
        <v>0.7</v>
      </c>
      <c r="F15" s="10">
        <f t="shared" si="3"/>
        <v>142.85714285714286</v>
      </c>
      <c r="G15" s="8">
        <v>22.8</v>
      </c>
      <c r="H15" s="16">
        <f>C15</f>
        <v>29.869977688533616</v>
      </c>
      <c r="J15" s="10"/>
      <c r="K15" s="9">
        <f t="shared" si="4"/>
        <v>1069.4500081887616</v>
      </c>
      <c r="L15" s="13">
        <f t="shared" si="5"/>
        <v>1</v>
      </c>
      <c r="M15" s="13">
        <f t="shared" si="6"/>
        <v>0.9</v>
      </c>
      <c r="N15" s="8">
        <f t="shared" si="7"/>
        <v>1</v>
      </c>
      <c r="O15" s="14">
        <f t="shared" si="8"/>
        <v>0.7</v>
      </c>
      <c r="P15" s="15">
        <f t="shared" si="9"/>
        <v>142.85714285714286</v>
      </c>
    </row>
    <row r="16" spans="1:17" s="12" customFormat="1" ht="13.9" x14ac:dyDescent="0.25">
      <c r="A16" s="18">
        <f>0.5*B3</f>
        <v>5.5860446883575063</v>
      </c>
      <c r="B16" s="9">
        <f t="shared" si="0"/>
        <v>1098.5083790853005</v>
      </c>
      <c r="C16" s="9">
        <f t="shared" si="1"/>
        <v>61.363168961056573</v>
      </c>
      <c r="D16" s="9">
        <f t="shared" si="2"/>
        <v>1037.1452101242439</v>
      </c>
      <c r="E16" s="8">
        <v>1.452</v>
      </c>
      <c r="F16" s="10">
        <f t="shared" si="3"/>
        <v>68.870523415977971</v>
      </c>
      <c r="G16" s="8">
        <v>21.5</v>
      </c>
      <c r="H16" s="16">
        <f>C16-C15</f>
        <v>31.493191272522957</v>
      </c>
      <c r="J16" s="10"/>
      <c r="K16" s="9">
        <f t="shared" si="4"/>
        <v>1098.5083790853005</v>
      </c>
      <c r="L16" s="13">
        <f t="shared" si="5"/>
        <v>1</v>
      </c>
      <c r="M16" s="13">
        <f t="shared" si="6"/>
        <v>0.9</v>
      </c>
      <c r="N16" s="8">
        <f t="shared" si="7"/>
        <v>1</v>
      </c>
      <c r="O16" s="14">
        <f t="shared" si="8"/>
        <v>1.452</v>
      </c>
      <c r="P16" s="15">
        <f t="shared" si="9"/>
        <v>68.870523415977971</v>
      </c>
    </row>
    <row r="17" spans="1:16" s="12" customFormat="1" ht="13.9" x14ac:dyDescent="0.25">
      <c r="A17" s="18">
        <f>0.75*B3</f>
        <v>8.3790670325362591</v>
      </c>
      <c r="B17" s="9">
        <f t="shared" si="0"/>
        <v>1127.5667499818394</v>
      </c>
      <c r="C17" s="9">
        <f t="shared" si="1"/>
        <v>94.479573817568848</v>
      </c>
      <c r="D17" s="9">
        <f t="shared" si="2"/>
        <v>1033.0871761642707</v>
      </c>
      <c r="E17" s="8">
        <v>1.8540000000000001</v>
      </c>
      <c r="F17" s="10">
        <f t="shared" si="3"/>
        <v>53.937432578209275</v>
      </c>
      <c r="G17" s="8">
        <v>20.5</v>
      </c>
      <c r="H17" s="16">
        <f>C17-C16</f>
        <v>33.116404856512276</v>
      </c>
      <c r="J17" s="10"/>
      <c r="K17" s="9">
        <f t="shared" si="4"/>
        <v>1127.5667499818394</v>
      </c>
      <c r="L17" s="13">
        <f t="shared" si="5"/>
        <v>1</v>
      </c>
      <c r="M17" s="13">
        <f t="shared" si="6"/>
        <v>0.9</v>
      </c>
      <c r="N17" s="8">
        <f t="shared" si="7"/>
        <v>1</v>
      </c>
      <c r="O17" s="14">
        <f t="shared" si="8"/>
        <v>1.8540000000000001</v>
      </c>
      <c r="P17" s="15">
        <f t="shared" si="9"/>
        <v>53.937432578209275</v>
      </c>
    </row>
    <row r="18" spans="1:16" s="12" customFormat="1" ht="13.9" x14ac:dyDescent="0.25">
      <c r="A18" s="18">
        <f>1*B3</f>
        <v>11.172089376715013</v>
      </c>
      <c r="B18" s="9">
        <f t="shared" si="0"/>
        <v>1156.6251208783785</v>
      </c>
      <c r="C18" s="9">
        <f t="shared" si="1"/>
        <v>129.21919225807051</v>
      </c>
      <c r="D18" s="9">
        <f t="shared" si="2"/>
        <v>1027.405928620308</v>
      </c>
      <c r="E18" s="8">
        <v>2.65</v>
      </c>
      <c r="F18" s="17">
        <f t="shared" si="3"/>
        <v>37.735849056603776</v>
      </c>
      <c r="G18" s="8">
        <v>20.3</v>
      </c>
      <c r="H18" s="16">
        <f>C18-C17</f>
        <v>34.739618440501658</v>
      </c>
      <c r="J18" s="10"/>
      <c r="K18" s="9">
        <f t="shared" si="4"/>
        <v>1156.6251208783785</v>
      </c>
      <c r="L18" s="13">
        <f t="shared" si="5"/>
        <v>1</v>
      </c>
      <c r="M18" s="13">
        <f t="shared" si="6"/>
        <v>0.9</v>
      </c>
      <c r="N18" s="8">
        <f t="shared" si="7"/>
        <v>1</v>
      </c>
      <c r="O18" s="14">
        <f t="shared" si="8"/>
        <v>2.65</v>
      </c>
      <c r="P18" s="15">
        <f t="shared" si="9"/>
        <v>37.735849056603776</v>
      </c>
    </row>
    <row r="19" spans="1:16" ht="13.9" x14ac:dyDescent="0.25">
      <c r="A19" s="18">
        <f>E6</f>
        <v>17.675544794188866</v>
      </c>
      <c r="B19" s="9">
        <f t="shared" si="0"/>
        <v>1224.2865271768046</v>
      </c>
      <c r="C19" s="9">
        <f t="shared" si="1"/>
        <v>216.39931352035535</v>
      </c>
      <c r="D19" s="9">
        <f t="shared" si="2"/>
        <v>1007.8872136564493</v>
      </c>
      <c r="E19" s="8">
        <v>2.1890000000000001</v>
      </c>
      <c r="F19" s="17">
        <f t="shared" si="3"/>
        <v>45.682960255824575</v>
      </c>
      <c r="G19" s="8">
        <v>20.2</v>
      </c>
      <c r="H19" s="16">
        <f>C19-C18</f>
        <v>87.180121262284842</v>
      </c>
      <c r="J19" s="10"/>
      <c r="K19" s="9">
        <f t="shared" si="4"/>
        <v>1224.2865271768046</v>
      </c>
      <c r="L19" s="13">
        <f t="shared" si="5"/>
        <v>1</v>
      </c>
      <c r="M19" s="13">
        <f t="shared" si="6"/>
        <v>0.9</v>
      </c>
      <c r="N19" s="8">
        <f t="shared" si="7"/>
        <v>1</v>
      </c>
      <c r="O19" s="14">
        <f t="shared" si="8"/>
        <v>2.1890000000000001</v>
      </c>
      <c r="P19" s="15">
        <f t="shared" si="9"/>
        <v>45.682960255824575</v>
      </c>
    </row>
    <row r="22" spans="1:16" ht="13.9" x14ac:dyDescent="0.25">
      <c r="G22" s="22">
        <v>0.85</v>
      </c>
      <c r="H22" s="22">
        <v>0.05</v>
      </c>
      <c r="J22" s="22">
        <v>0.05</v>
      </c>
      <c r="K22" s="22">
        <v>0.9</v>
      </c>
    </row>
    <row r="23" spans="1:16" ht="13.9" x14ac:dyDescent="0.25">
      <c r="G23" s="23">
        <v>477.0992366412213</v>
      </c>
      <c r="H23" s="2">
        <v>20.9</v>
      </c>
      <c r="I23" s="2">
        <v>369.96</v>
      </c>
      <c r="J23" s="23">
        <f>G23*(5/100)</f>
        <v>23.854961832061065</v>
      </c>
      <c r="K23" s="23">
        <f>G23-J23</f>
        <v>453.24427480916023</v>
      </c>
      <c r="L23" s="2">
        <f>(1/K23)*100</f>
        <v>0.22063157894736846</v>
      </c>
    </row>
    <row r="24" spans="1:16" ht="13.9" x14ac:dyDescent="0.25">
      <c r="G24" s="23">
        <v>150.37593984962405</v>
      </c>
      <c r="H24" s="2">
        <v>21.8</v>
      </c>
      <c r="J24" s="23">
        <f t="shared" ref="J24:J28" si="10">G24*(5/100)</f>
        <v>7.518796992481203</v>
      </c>
      <c r="K24" s="23">
        <f t="shared" ref="K24:K28" si="11">G24-J24</f>
        <v>142.85714285714283</v>
      </c>
      <c r="L24" s="2">
        <f t="shared" ref="L24:L28" si="12">(1/K24)*100</f>
        <v>0.70000000000000007</v>
      </c>
    </row>
    <row r="25" spans="1:16" ht="13.9" x14ac:dyDescent="0.25">
      <c r="G25" s="23">
        <v>72.516316171138513</v>
      </c>
      <c r="H25" s="2">
        <v>21.8</v>
      </c>
      <c r="J25" s="23">
        <f t="shared" si="10"/>
        <v>3.6258158085569256</v>
      </c>
      <c r="K25" s="23">
        <f t="shared" si="11"/>
        <v>68.890500362581591</v>
      </c>
      <c r="L25" s="2">
        <f t="shared" si="12"/>
        <v>1.4515789473684209</v>
      </c>
    </row>
    <row r="26" spans="1:16" ht="13.9" x14ac:dyDescent="0.25">
      <c r="G26" s="23">
        <v>56.785917092561043</v>
      </c>
      <c r="H26" s="2">
        <v>21.7</v>
      </c>
      <c r="J26" s="23">
        <f t="shared" si="10"/>
        <v>2.8392958546280522</v>
      </c>
      <c r="K26" s="23">
        <f t="shared" si="11"/>
        <v>53.946621237932987</v>
      </c>
      <c r="L26" s="2">
        <f t="shared" si="12"/>
        <v>1.853684210526316</v>
      </c>
    </row>
    <row r="27" spans="1:16" ht="13.9" x14ac:dyDescent="0.25">
      <c r="G27" s="23">
        <v>39.61965134706815</v>
      </c>
      <c r="H27" s="2">
        <v>21.7</v>
      </c>
      <c r="J27" s="23">
        <f t="shared" si="10"/>
        <v>1.9809825673534076</v>
      </c>
      <c r="K27" s="23">
        <f t="shared" si="11"/>
        <v>37.638668779714742</v>
      </c>
      <c r="L27" s="2">
        <f t="shared" si="12"/>
        <v>2.6568421052631579</v>
      </c>
    </row>
    <row r="28" spans="1:16" ht="13.9" x14ac:dyDescent="0.25">
      <c r="G28" s="23">
        <v>48.076923076923073</v>
      </c>
      <c r="H28" s="2">
        <v>20.100000000000001</v>
      </c>
      <c r="J28" s="23">
        <f t="shared" si="10"/>
        <v>2.4038461538461537</v>
      </c>
      <c r="K28" s="23">
        <f t="shared" si="11"/>
        <v>45.67307692307692</v>
      </c>
      <c r="L28" s="2">
        <f t="shared" si="12"/>
        <v>2.1894736842105265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E999-D52A-4CCD-811E-59214AD6E447}">
  <dimension ref="A3:Q28"/>
  <sheetViews>
    <sheetView topLeftCell="A9" workbookViewId="0">
      <selection activeCell="E13" sqref="E13:E19"/>
    </sheetView>
  </sheetViews>
  <sheetFormatPr defaultColWidth="8.85546875" defaultRowHeight="15" x14ac:dyDescent="0.25"/>
  <cols>
    <col min="1" max="1" width="24.7109375" style="2" customWidth="1"/>
    <col min="2" max="2" width="19.7109375" style="2" customWidth="1"/>
    <col min="3" max="3" width="18.28515625" style="2" customWidth="1"/>
    <col min="4" max="4" width="23.28515625" style="2" customWidth="1"/>
    <col min="5" max="7" width="18.28515625" style="2" customWidth="1"/>
    <col min="8" max="8" width="13.140625" style="2" customWidth="1"/>
    <col min="9" max="9" width="8.85546875" style="2"/>
    <col min="10" max="10" width="11.7109375" style="2" customWidth="1"/>
    <col min="11" max="11" width="13" style="2" customWidth="1"/>
    <col min="12" max="12" width="12.7109375" style="2" customWidth="1"/>
    <col min="13" max="13" width="11.7109375" style="2" customWidth="1"/>
    <col min="14" max="14" width="10.5703125" style="2" customWidth="1"/>
    <col min="15" max="15" width="12.5703125" style="2" customWidth="1"/>
    <col min="16" max="16" width="11.42578125" style="2" customWidth="1"/>
    <col min="17" max="16384" width="8.85546875" style="2"/>
  </cols>
  <sheetData>
    <row r="3" spans="1:17" ht="13.9" x14ac:dyDescent="0.25">
      <c r="A3" s="1" t="s">
        <v>0</v>
      </c>
      <c r="B3" s="4">
        <f>Q7*100</f>
        <v>11.172089376715013</v>
      </c>
      <c r="C3" s="1" t="s">
        <v>1</v>
      </c>
      <c r="D3" s="1" t="s">
        <v>2</v>
      </c>
      <c r="E3" s="26">
        <v>318.3</v>
      </c>
      <c r="G3" s="3" t="s">
        <v>3</v>
      </c>
      <c r="K3" s="1" t="s">
        <v>31</v>
      </c>
      <c r="L3" s="19">
        <v>9.2620000000000005</v>
      </c>
      <c r="M3" s="20" t="s">
        <v>32</v>
      </c>
      <c r="N3" s="19">
        <v>3.3300000000000003E-2</v>
      </c>
      <c r="P3" s="21" t="s">
        <v>35</v>
      </c>
      <c r="Q3" s="19">
        <v>144.4</v>
      </c>
    </row>
    <row r="4" spans="1:17" ht="13.9" x14ac:dyDescent="0.25">
      <c r="A4" s="1" t="s">
        <v>4</v>
      </c>
      <c r="B4" s="1">
        <f>L8</f>
        <v>103.88893124436143</v>
      </c>
      <c r="C4" s="1" t="s">
        <v>5</v>
      </c>
      <c r="D4" s="1" t="s">
        <v>6</v>
      </c>
      <c r="E4" s="26">
        <v>1967</v>
      </c>
      <c r="G4" s="2" t="s">
        <v>7</v>
      </c>
      <c r="H4" s="2">
        <v>3</v>
      </c>
      <c r="I4" s="2" t="s">
        <v>8</v>
      </c>
      <c r="K4" s="1" t="s">
        <v>33</v>
      </c>
      <c r="L4" s="19">
        <v>14.4</v>
      </c>
      <c r="M4" s="20" t="s">
        <v>32</v>
      </c>
      <c r="N4" s="19">
        <v>7.4999999999999997E-2</v>
      </c>
      <c r="P4" s="21" t="s">
        <v>38</v>
      </c>
      <c r="Q4" s="19">
        <v>711.6</v>
      </c>
    </row>
    <row r="5" spans="1:17" ht="13.9" x14ac:dyDescent="0.25">
      <c r="A5" s="1" t="s">
        <v>9</v>
      </c>
      <c r="B5" s="1">
        <v>0.9</v>
      </c>
      <c r="C5" s="1"/>
      <c r="D5" s="1" t="s">
        <v>10</v>
      </c>
      <c r="E5" s="26">
        <v>1679.2</v>
      </c>
      <c r="G5" s="2" t="s">
        <v>11</v>
      </c>
      <c r="H5" s="2">
        <v>6</v>
      </c>
      <c r="I5" s="2" t="s">
        <v>8</v>
      </c>
      <c r="P5" s="21" t="s">
        <v>39</v>
      </c>
      <c r="Q5" s="19">
        <v>654.6</v>
      </c>
    </row>
    <row r="6" spans="1:17" ht="16.899999999999999" x14ac:dyDescent="0.25">
      <c r="A6" s="1" t="s">
        <v>12</v>
      </c>
      <c r="B6" s="1">
        <f>B5*B4</f>
        <v>93.500038119925293</v>
      </c>
      <c r="C6" s="1" t="s">
        <v>5</v>
      </c>
      <c r="D6" s="1" t="s">
        <v>13</v>
      </c>
      <c r="E6" s="27">
        <f>(((E4-E3)-(E5-E3))/(E5-E3))*100</f>
        <v>21.14776985818208</v>
      </c>
      <c r="G6" s="2" t="s">
        <v>14</v>
      </c>
      <c r="H6" s="2">
        <f>3.14*H4*H4*H5/4</f>
        <v>42.39</v>
      </c>
      <c r="I6" s="2" t="s">
        <v>15</v>
      </c>
      <c r="K6" s="21" t="s">
        <v>34</v>
      </c>
      <c r="L6" s="19">
        <v>13.108000000000001</v>
      </c>
    </row>
    <row r="7" spans="1:17" ht="16.899999999999999" x14ac:dyDescent="0.25">
      <c r="H7" s="2">
        <f>H6/(12)^3</f>
        <v>2.4531250000000001E-2</v>
      </c>
      <c r="I7" s="2" t="s">
        <v>16</v>
      </c>
      <c r="K7" s="21" t="s">
        <v>36</v>
      </c>
      <c r="L7" s="19">
        <f>(L6-L3)/N3</f>
        <v>115.49549549549549</v>
      </c>
      <c r="P7" s="19" t="s">
        <v>40</v>
      </c>
      <c r="Q7" s="19">
        <f>(Q4-Q5)/(Q5-Q3)</f>
        <v>0.11172089376715012</v>
      </c>
    </row>
    <row r="8" spans="1:17" ht="13.9" x14ac:dyDescent="0.25">
      <c r="K8" s="21" t="s">
        <v>37</v>
      </c>
      <c r="L8" s="19">
        <f>L7/(1+Q7)</f>
        <v>103.88893124436143</v>
      </c>
    </row>
    <row r="10" spans="1:17" ht="13.9" x14ac:dyDescent="0.25">
      <c r="M10" s="5"/>
    </row>
    <row r="13" spans="1:17" s="7" customFormat="1" ht="57" x14ac:dyDescent="0.25">
      <c r="A13" s="6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J13" s="6" t="s">
        <v>24</v>
      </c>
      <c r="K13" s="6" t="s">
        <v>25</v>
      </c>
      <c r="L13" s="6" t="s">
        <v>26</v>
      </c>
      <c r="M13" s="6" t="s">
        <v>27</v>
      </c>
      <c r="N13" s="6" t="s">
        <v>28</v>
      </c>
      <c r="O13" s="6" t="s">
        <v>29</v>
      </c>
      <c r="P13" s="6" t="s">
        <v>30</v>
      </c>
    </row>
    <row r="14" spans="1:17" s="12" customFormat="1" ht="13.9" x14ac:dyDescent="0.25">
      <c r="A14" s="8">
        <f>0*B3</f>
        <v>0</v>
      </c>
      <c r="B14" s="9">
        <f t="shared" ref="B14:B19" si="0">$B$6*(1+0.01*A14)*$H$7*453.592</f>
        <v>1040.3916372922226</v>
      </c>
      <c r="C14" s="9">
        <f t="shared" ref="C14:C19" si="1">A14*B14/100</f>
        <v>0</v>
      </c>
      <c r="D14" s="9">
        <f t="shared" ref="D14:D19" si="2">B14-C14</f>
        <v>1040.3916372922226</v>
      </c>
      <c r="E14" s="24">
        <v>0.26140000000000002</v>
      </c>
      <c r="F14" s="25">
        <f t="shared" ref="F14:F19" si="3">(1/E14)*100</f>
        <v>382.55547054322869</v>
      </c>
      <c r="G14" s="24"/>
      <c r="H14" s="11"/>
      <c r="J14" s="10"/>
      <c r="K14" s="9">
        <f t="shared" ref="K14:K19" si="4">B14-J14</f>
        <v>1040.3916372922226</v>
      </c>
      <c r="L14" s="13">
        <f t="shared" ref="L14:L19" si="5">K14/B14</f>
        <v>1</v>
      </c>
      <c r="M14" s="13">
        <f t="shared" ref="M14:M19" si="6">$B$5*L14</f>
        <v>0.9</v>
      </c>
      <c r="N14" s="8">
        <f t="shared" ref="N14:N19" si="7">$B$5/M14</f>
        <v>1</v>
      </c>
      <c r="O14" s="14">
        <f t="shared" ref="O14:O19" si="8">E14*N14</f>
        <v>0.26140000000000002</v>
      </c>
      <c r="P14" s="15">
        <f t="shared" ref="P14:P19" si="9">(1/O14)*100</f>
        <v>382.55547054322869</v>
      </c>
    </row>
    <row r="15" spans="1:17" s="12" customFormat="1" ht="13.9" x14ac:dyDescent="0.25">
      <c r="A15" s="18">
        <f>0.25*$B$3</f>
        <v>2.7930223441787532</v>
      </c>
      <c r="B15" s="9">
        <f t="shared" si="0"/>
        <v>1069.4500081887616</v>
      </c>
      <c r="C15" s="9">
        <f t="shared" si="1"/>
        <v>29.869977688533616</v>
      </c>
      <c r="D15" s="9">
        <f t="shared" si="2"/>
        <v>1039.5800305002278</v>
      </c>
      <c r="E15" s="24">
        <v>0.43380000000000002</v>
      </c>
      <c r="F15" s="25">
        <f t="shared" si="3"/>
        <v>230.52097740894419</v>
      </c>
      <c r="G15" s="24"/>
      <c r="H15" s="16">
        <f>C15</f>
        <v>29.869977688533616</v>
      </c>
      <c r="J15" s="10"/>
      <c r="K15" s="9">
        <f t="shared" si="4"/>
        <v>1069.4500081887616</v>
      </c>
      <c r="L15" s="13">
        <f t="shared" si="5"/>
        <v>1</v>
      </c>
      <c r="M15" s="13">
        <f t="shared" si="6"/>
        <v>0.9</v>
      </c>
      <c r="N15" s="8">
        <f t="shared" si="7"/>
        <v>1</v>
      </c>
      <c r="O15" s="14">
        <f t="shared" si="8"/>
        <v>0.43380000000000002</v>
      </c>
      <c r="P15" s="15">
        <f t="shared" si="9"/>
        <v>230.52097740894419</v>
      </c>
    </row>
    <row r="16" spans="1:17" s="12" customFormat="1" ht="13.9" x14ac:dyDescent="0.25">
      <c r="A16" s="18">
        <f>0.5*B3</f>
        <v>5.5860446883575063</v>
      </c>
      <c r="B16" s="9">
        <f t="shared" si="0"/>
        <v>1098.5083790853005</v>
      </c>
      <c r="C16" s="9">
        <f t="shared" si="1"/>
        <v>61.363168961056573</v>
      </c>
      <c r="D16" s="9">
        <f t="shared" si="2"/>
        <v>1037.1452101242439</v>
      </c>
      <c r="E16" s="24">
        <v>1.748</v>
      </c>
      <c r="F16" s="25">
        <f t="shared" si="3"/>
        <v>57.208237986270028</v>
      </c>
      <c r="G16" s="24"/>
      <c r="H16" s="16">
        <f>C16-C15</f>
        <v>31.493191272522957</v>
      </c>
      <c r="J16" s="10"/>
      <c r="K16" s="9">
        <f t="shared" si="4"/>
        <v>1098.5083790853005</v>
      </c>
      <c r="L16" s="13">
        <f t="shared" si="5"/>
        <v>1</v>
      </c>
      <c r="M16" s="13">
        <f t="shared" si="6"/>
        <v>0.9</v>
      </c>
      <c r="N16" s="8">
        <f t="shared" si="7"/>
        <v>1</v>
      </c>
      <c r="O16" s="14">
        <f t="shared" si="8"/>
        <v>1.748</v>
      </c>
      <c r="P16" s="15">
        <f t="shared" si="9"/>
        <v>57.208237986270028</v>
      </c>
    </row>
    <row r="17" spans="1:16" s="12" customFormat="1" ht="13.9" x14ac:dyDescent="0.25">
      <c r="A17" s="18">
        <f>0.75*B3</f>
        <v>8.3790670325362591</v>
      </c>
      <c r="B17" s="9">
        <f t="shared" si="0"/>
        <v>1127.5667499818394</v>
      </c>
      <c r="C17" s="9">
        <f t="shared" si="1"/>
        <v>94.479573817568848</v>
      </c>
      <c r="D17" s="9">
        <f t="shared" si="2"/>
        <v>1033.0871761642707</v>
      </c>
      <c r="E17" s="24">
        <v>2.4670000000000001</v>
      </c>
      <c r="F17" s="25">
        <f t="shared" si="3"/>
        <v>40.535062829347382</v>
      </c>
      <c r="G17" s="24"/>
      <c r="H17" s="16">
        <f>C17-C16</f>
        <v>33.116404856512276</v>
      </c>
      <c r="J17" s="10"/>
      <c r="K17" s="9">
        <f t="shared" si="4"/>
        <v>1127.5667499818394</v>
      </c>
      <c r="L17" s="13">
        <f t="shared" si="5"/>
        <v>1</v>
      </c>
      <c r="M17" s="13">
        <f t="shared" si="6"/>
        <v>0.9</v>
      </c>
      <c r="N17" s="8">
        <f t="shared" si="7"/>
        <v>1</v>
      </c>
      <c r="O17" s="14">
        <f t="shared" si="8"/>
        <v>2.4670000000000001</v>
      </c>
      <c r="P17" s="15">
        <f t="shared" si="9"/>
        <v>40.535062829347382</v>
      </c>
    </row>
    <row r="18" spans="1:16" s="12" customFormat="1" ht="13.9" x14ac:dyDescent="0.25">
      <c r="A18" s="18">
        <f>1*B3</f>
        <v>11.172089376715013</v>
      </c>
      <c r="B18" s="9">
        <f t="shared" si="0"/>
        <v>1156.6251208783785</v>
      </c>
      <c r="C18" s="9">
        <f t="shared" si="1"/>
        <v>129.21919225807051</v>
      </c>
      <c r="D18" s="9">
        <f t="shared" si="2"/>
        <v>1027.405928620308</v>
      </c>
      <c r="E18" s="24">
        <v>3.069</v>
      </c>
      <c r="F18" s="25">
        <f t="shared" si="3"/>
        <v>32.583903551645491</v>
      </c>
      <c r="G18" s="24"/>
      <c r="H18" s="16">
        <f>C18-C17</f>
        <v>34.739618440501658</v>
      </c>
      <c r="J18" s="10"/>
      <c r="K18" s="9">
        <f t="shared" si="4"/>
        <v>1156.6251208783785</v>
      </c>
      <c r="L18" s="13">
        <f t="shared" si="5"/>
        <v>1</v>
      </c>
      <c r="M18" s="13">
        <f t="shared" si="6"/>
        <v>0.9</v>
      </c>
      <c r="N18" s="8">
        <f t="shared" si="7"/>
        <v>1</v>
      </c>
      <c r="O18" s="14">
        <f t="shared" si="8"/>
        <v>3.069</v>
      </c>
      <c r="P18" s="15">
        <f t="shared" si="9"/>
        <v>32.583903551645491</v>
      </c>
    </row>
    <row r="19" spans="1:16" ht="13.9" x14ac:dyDescent="0.25">
      <c r="A19" s="18">
        <f>E6</f>
        <v>21.14776985818208</v>
      </c>
      <c r="B19" s="9">
        <f t="shared" si="0"/>
        <v>1260.4112663705544</v>
      </c>
      <c r="C19" s="9">
        <f t="shared" si="1"/>
        <v>266.54887387864312</v>
      </c>
      <c r="D19" s="9">
        <f t="shared" si="2"/>
        <v>993.86239249191124</v>
      </c>
      <c r="E19" s="24">
        <v>2.1970000000000001</v>
      </c>
      <c r="F19" s="25">
        <f t="shared" si="3"/>
        <v>45.516613563950841</v>
      </c>
      <c r="G19" s="24">
        <v>22.7</v>
      </c>
      <c r="H19" s="16">
        <f>C19-C18</f>
        <v>137.32968162057261</v>
      </c>
      <c r="J19" s="10"/>
      <c r="K19" s="9">
        <f t="shared" si="4"/>
        <v>1260.4112663705544</v>
      </c>
      <c r="L19" s="13">
        <f t="shared" si="5"/>
        <v>1</v>
      </c>
      <c r="M19" s="13">
        <f t="shared" si="6"/>
        <v>0.9</v>
      </c>
      <c r="N19" s="8">
        <f t="shared" si="7"/>
        <v>1</v>
      </c>
      <c r="O19" s="14">
        <f t="shared" si="8"/>
        <v>2.1970000000000001</v>
      </c>
      <c r="P19" s="15">
        <f t="shared" si="9"/>
        <v>45.516613563950841</v>
      </c>
    </row>
    <row r="22" spans="1:16" ht="13.9" x14ac:dyDescent="0.25">
      <c r="G22" s="22">
        <v>0.85</v>
      </c>
      <c r="H22" s="22">
        <v>0.05</v>
      </c>
      <c r="J22" s="22">
        <v>0.05</v>
      </c>
      <c r="K22" s="22">
        <v>0.9</v>
      </c>
    </row>
    <row r="23" spans="1:16" ht="13.9" x14ac:dyDescent="0.25">
      <c r="G23" s="23">
        <v>477.0992366412213</v>
      </c>
      <c r="H23" s="2">
        <v>20.9</v>
      </c>
      <c r="I23" s="2">
        <v>369.96</v>
      </c>
      <c r="J23" s="23">
        <f>G23*(5/100)</f>
        <v>23.854961832061065</v>
      </c>
      <c r="K23" s="23">
        <f>G23-J23</f>
        <v>453.24427480916023</v>
      </c>
      <c r="L23" s="2">
        <f>(1/K23)*100</f>
        <v>0.22063157894736846</v>
      </c>
    </row>
    <row r="24" spans="1:16" ht="13.9" x14ac:dyDescent="0.25">
      <c r="G24" s="23">
        <v>150.37593984962405</v>
      </c>
      <c r="H24" s="2">
        <v>21.8</v>
      </c>
      <c r="J24" s="23">
        <f t="shared" ref="J24:J28" si="10">G24*(5/100)</f>
        <v>7.518796992481203</v>
      </c>
      <c r="K24" s="23">
        <f t="shared" ref="K24:K28" si="11">G24-J24</f>
        <v>142.85714285714283</v>
      </c>
      <c r="L24" s="2">
        <f t="shared" ref="L24:L28" si="12">(1/K24)*100</f>
        <v>0.70000000000000007</v>
      </c>
    </row>
    <row r="25" spans="1:16" ht="13.9" x14ac:dyDescent="0.25">
      <c r="G25" s="23">
        <v>72.516316171138513</v>
      </c>
      <c r="H25" s="2">
        <v>21.8</v>
      </c>
      <c r="J25" s="23">
        <f t="shared" si="10"/>
        <v>3.6258158085569256</v>
      </c>
      <c r="K25" s="23">
        <f t="shared" si="11"/>
        <v>68.890500362581591</v>
      </c>
      <c r="L25" s="2">
        <f t="shared" si="12"/>
        <v>1.4515789473684209</v>
      </c>
    </row>
    <row r="26" spans="1:16" ht="13.9" x14ac:dyDescent="0.25">
      <c r="G26" s="23">
        <v>56.785917092561043</v>
      </c>
      <c r="H26" s="2">
        <v>21.7</v>
      </c>
      <c r="J26" s="23">
        <f t="shared" si="10"/>
        <v>2.8392958546280522</v>
      </c>
      <c r="K26" s="23">
        <f t="shared" si="11"/>
        <v>53.946621237932987</v>
      </c>
      <c r="L26" s="2">
        <f t="shared" si="12"/>
        <v>1.853684210526316</v>
      </c>
    </row>
    <row r="27" spans="1:16" ht="13.9" x14ac:dyDescent="0.25">
      <c r="G27" s="23">
        <v>39.61965134706815</v>
      </c>
      <c r="H27" s="2">
        <v>21.7</v>
      </c>
      <c r="J27" s="23">
        <f t="shared" si="10"/>
        <v>1.9809825673534076</v>
      </c>
      <c r="K27" s="23">
        <f t="shared" si="11"/>
        <v>37.638668779714742</v>
      </c>
      <c r="L27" s="2">
        <f t="shared" si="12"/>
        <v>2.6568421052631579</v>
      </c>
    </row>
    <row r="28" spans="1:16" ht="13.9" x14ac:dyDescent="0.25">
      <c r="G28" s="23">
        <v>48.076923076923073</v>
      </c>
      <c r="H28" s="2">
        <v>20.100000000000001</v>
      </c>
      <c r="J28" s="23">
        <f t="shared" si="10"/>
        <v>2.4038461538461537</v>
      </c>
      <c r="K28" s="23">
        <f t="shared" si="11"/>
        <v>45.67307692307692</v>
      </c>
      <c r="L28" s="2">
        <f t="shared" si="12"/>
        <v>2.1894736842105265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DA62-773D-45E7-94F2-40C67D744C4B}">
  <dimension ref="A3:Q28"/>
  <sheetViews>
    <sheetView topLeftCell="A12" workbookViewId="0">
      <selection activeCell="E14" sqref="E14:E19"/>
    </sheetView>
  </sheetViews>
  <sheetFormatPr defaultColWidth="8.85546875" defaultRowHeight="15" x14ac:dyDescent="0.25"/>
  <cols>
    <col min="1" max="1" width="24.7109375" style="2" customWidth="1"/>
    <col min="2" max="2" width="19.7109375" style="2" customWidth="1"/>
    <col min="3" max="3" width="18.28515625" style="2" customWidth="1"/>
    <col min="4" max="4" width="23.28515625" style="2" customWidth="1"/>
    <col min="5" max="7" width="18.28515625" style="2" customWidth="1"/>
    <col min="8" max="8" width="13.140625" style="2" customWidth="1"/>
    <col min="9" max="9" width="8.85546875" style="2"/>
    <col min="10" max="10" width="11.7109375" style="2" customWidth="1"/>
    <col min="11" max="11" width="13" style="2" customWidth="1"/>
    <col min="12" max="12" width="12.7109375" style="2" customWidth="1"/>
    <col min="13" max="13" width="11.7109375" style="2" customWidth="1"/>
    <col min="14" max="14" width="10.5703125" style="2" customWidth="1"/>
    <col min="15" max="15" width="12.5703125" style="2" customWidth="1"/>
    <col min="16" max="16" width="11.42578125" style="2" customWidth="1"/>
    <col min="17" max="16384" width="8.85546875" style="2"/>
  </cols>
  <sheetData>
    <row r="3" spans="1:17" ht="13.9" x14ac:dyDescent="0.25">
      <c r="A3" s="1" t="s">
        <v>0</v>
      </c>
      <c r="B3" s="4">
        <f>Q7*100</f>
        <v>11.172089376715013</v>
      </c>
      <c r="C3" s="1" t="s">
        <v>1</v>
      </c>
      <c r="D3" s="1" t="s">
        <v>2</v>
      </c>
      <c r="E3" s="26">
        <v>319.39999999999998</v>
      </c>
      <c r="G3" s="3" t="s">
        <v>3</v>
      </c>
      <c r="K3" s="1" t="s">
        <v>31</v>
      </c>
      <c r="L3" s="19">
        <v>9.2620000000000005</v>
      </c>
      <c r="M3" s="20" t="s">
        <v>32</v>
      </c>
      <c r="N3" s="19">
        <v>3.3300000000000003E-2</v>
      </c>
      <c r="P3" s="21" t="s">
        <v>35</v>
      </c>
      <c r="Q3" s="19">
        <v>144.4</v>
      </c>
    </row>
    <row r="4" spans="1:17" ht="13.9" x14ac:dyDescent="0.25">
      <c r="A4" s="1" t="s">
        <v>4</v>
      </c>
      <c r="B4" s="1">
        <f>L8</f>
        <v>103.88893124436143</v>
      </c>
      <c r="C4" s="1" t="s">
        <v>5</v>
      </c>
      <c r="D4" s="1" t="s">
        <v>6</v>
      </c>
      <c r="E4" s="26">
        <v>1973</v>
      </c>
      <c r="G4" s="2" t="s">
        <v>7</v>
      </c>
      <c r="H4" s="2">
        <v>3</v>
      </c>
      <c r="I4" s="2" t="s">
        <v>8</v>
      </c>
      <c r="K4" s="1" t="s">
        <v>33</v>
      </c>
      <c r="L4" s="19">
        <v>14.4</v>
      </c>
      <c r="M4" s="20" t="s">
        <v>32</v>
      </c>
      <c r="N4" s="19">
        <v>7.4999999999999997E-2</v>
      </c>
      <c r="P4" s="21" t="s">
        <v>38</v>
      </c>
      <c r="Q4" s="19">
        <v>711.6</v>
      </c>
    </row>
    <row r="5" spans="1:17" ht="13.9" x14ac:dyDescent="0.25">
      <c r="A5" s="1" t="s">
        <v>9</v>
      </c>
      <c r="B5" s="1">
        <v>0.9</v>
      </c>
      <c r="C5" s="1"/>
      <c r="D5" s="1" t="s">
        <v>10</v>
      </c>
      <c r="E5" s="26">
        <v>1688.8</v>
      </c>
      <c r="G5" s="2" t="s">
        <v>11</v>
      </c>
      <c r="H5" s="2">
        <v>6</v>
      </c>
      <c r="I5" s="2" t="s">
        <v>8</v>
      </c>
      <c r="P5" s="21" t="s">
        <v>39</v>
      </c>
      <c r="Q5" s="19">
        <v>654.6</v>
      </c>
    </row>
    <row r="6" spans="1:17" ht="16.899999999999999" x14ac:dyDescent="0.25">
      <c r="A6" s="1" t="s">
        <v>12</v>
      </c>
      <c r="B6" s="1">
        <f>B5*B4</f>
        <v>93.500038119925293</v>
      </c>
      <c r="C6" s="1" t="s">
        <v>5</v>
      </c>
      <c r="D6" s="1" t="s">
        <v>13</v>
      </c>
      <c r="E6" s="27">
        <f>(((E4-E3)-(E5-E3))/(E5-E3))*100</f>
        <v>20.753614721775946</v>
      </c>
      <c r="G6" s="2" t="s">
        <v>14</v>
      </c>
      <c r="H6" s="2">
        <f>3.14*H4*H4*H5/4</f>
        <v>42.39</v>
      </c>
      <c r="I6" s="2" t="s">
        <v>15</v>
      </c>
      <c r="K6" s="21" t="s">
        <v>34</v>
      </c>
      <c r="L6" s="19">
        <v>13.108000000000001</v>
      </c>
    </row>
    <row r="7" spans="1:17" ht="16.899999999999999" x14ac:dyDescent="0.25">
      <c r="H7" s="2">
        <f>H6/(12)^3</f>
        <v>2.4531250000000001E-2</v>
      </c>
      <c r="I7" s="2" t="s">
        <v>16</v>
      </c>
      <c r="K7" s="21" t="s">
        <v>36</v>
      </c>
      <c r="L7" s="19">
        <f>(L6-L3)/N3</f>
        <v>115.49549549549549</v>
      </c>
      <c r="P7" s="19" t="s">
        <v>40</v>
      </c>
      <c r="Q7" s="19">
        <f>(Q4-Q5)/(Q5-Q3)</f>
        <v>0.11172089376715012</v>
      </c>
    </row>
    <row r="8" spans="1:17" ht="13.9" x14ac:dyDescent="0.25">
      <c r="K8" s="21" t="s">
        <v>37</v>
      </c>
      <c r="L8" s="19">
        <f>L7/(1+Q7)</f>
        <v>103.88893124436143</v>
      </c>
    </row>
    <row r="10" spans="1:17" ht="13.9" x14ac:dyDescent="0.25">
      <c r="M10" s="5"/>
    </row>
    <row r="13" spans="1:17" s="7" customFormat="1" ht="57" x14ac:dyDescent="0.25">
      <c r="A13" s="6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J13" s="6" t="s">
        <v>24</v>
      </c>
      <c r="K13" s="6" t="s">
        <v>25</v>
      </c>
      <c r="L13" s="6" t="s">
        <v>26</v>
      </c>
      <c r="M13" s="6" t="s">
        <v>27</v>
      </c>
      <c r="N13" s="6" t="s">
        <v>28</v>
      </c>
      <c r="O13" s="6" t="s">
        <v>29</v>
      </c>
      <c r="P13" s="6" t="s">
        <v>30</v>
      </c>
    </row>
    <row r="14" spans="1:17" s="12" customFormat="1" ht="13.9" x14ac:dyDescent="0.25">
      <c r="A14" s="8">
        <f>0*B3</f>
        <v>0</v>
      </c>
      <c r="B14" s="9">
        <f t="shared" ref="B14:B19" si="0">$B$6*(1+0.01*A14)*$H$7*453.592</f>
        <v>1040.3916372922226</v>
      </c>
      <c r="C14" s="9">
        <f t="shared" ref="C14:C19" si="1">A14*B14/100</f>
        <v>0</v>
      </c>
      <c r="D14" s="9">
        <f t="shared" ref="D14:D19" si="2">B14-C14</f>
        <v>1040.3916372922226</v>
      </c>
      <c r="E14" s="24">
        <v>0.26179999999999998</v>
      </c>
      <c r="F14" s="25">
        <f t="shared" ref="F14:F19" si="3">(1/E14)*100</f>
        <v>381.97097020626438</v>
      </c>
      <c r="G14" s="24">
        <v>23.8</v>
      </c>
      <c r="H14" s="11"/>
      <c r="J14" s="10"/>
      <c r="K14" s="9">
        <f t="shared" ref="K14:K19" si="4">B14-J14</f>
        <v>1040.3916372922226</v>
      </c>
      <c r="L14" s="13">
        <f t="shared" ref="L14:L19" si="5">K14/B14</f>
        <v>1</v>
      </c>
      <c r="M14" s="13">
        <f t="shared" ref="M14:M19" si="6">$B$5*L14</f>
        <v>0.9</v>
      </c>
      <c r="N14" s="8">
        <f t="shared" ref="N14:N19" si="7">$B$5/M14</f>
        <v>1</v>
      </c>
      <c r="O14" s="14">
        <f t="shared" ref="O14:O19" si="8">E14*N14</f>
        <v>0.26179999999999998</v>
      </c>
      <c r="P14" s="15">
        <f t="shared" ref="P14:P19" si="9">(1/O14)*100</f>
        <v>381.97097020626438</v>
      </c>
    </row>
    <row r="15" spans="1:17" s="12" customFormat="1" ht="13.9" x14ac:dyDescent="0.25">
      <c r="A15" s="18">
        <f>0.25*$B$3</f>
        <v>2.7930223441787532</v>
      </c>
      <c r="B15" s="9">
        <f t="shared" si="0"/>
        <v>1069.4500081887616</v>
      </c>
      <c r="C15" s="9">
        <f t="shared" si="1"/>
        <v>29.869977688533616</v>
      </c>
      <c r="D15" s="9">
        <f t="shared" si="2"/>
        <v>1039.5800305002278</v>
      </c>
      <c r="E15" s="24">
        <v>0.67359999999999998</v>
      </c>
      <c r="F15" s="25">
        <f t="shared" si="3"/>
        <v>148.45605700712591</v>
      </c>
      <c r="G15" s="24">
        <v>23.1</v>
      </c>
      <c r="H15" s="16">
        <f>C15</f>
        <v>29.869977688533616</v>
      </c>
      <c r="J15" s="10"/>
      <c r="K15" s="9">
        <f t="shared" si="4"/>
        <v>1069.4500081887616</v>
      </c>
      <c r="L15" s="13">
        <f t="shared" si="5"/>
        <v>1</v>
      </c>
      <c r="M15" s="13">
        <f t="shared" si="6"/>
        <v>0.9</v>
      </c>
      <c r="N15" s="8">
        <f t="shared" si="7"/>
        <v>1</v>
      </c>
      <c r="O15" s="14">
        <f t="shared" si="8"/>
        <v>0.67359999999999998</v>
      </c>
      <c r="P15" s="15">
        <f t="shared" si="9"/>
        <v>148.45605700712591</v>
      </c>
    </row>
    <row r="16" spans="1:17" s="12" customFormat="1" ht="13.9" x14ac:dyDescent="0.25">
      <c r="A16" s="18">
        <f>0.5*B3</f>
        <v>5.5860446883575063</v>
      </c>
      <c r="B16" s="9">
        <f t="shared" si="0"/>
        <v>1098.5083790853005</v>
      </c>
      <c r="C16" s="9">
        <f t="shared" si="1"/>
        <v>61.363168961056573</v>
      </c>
      <c r="D16" s="9">
        <f t="shared" si="2"/>
        <v>1037.1452101242439</v>
      </c>
      <c r="E16" s="24">
        <v>1.635</v>
      </c>
      <c r="F16" s="25">
        <f t="shared" si="3"/>
        <v>61.162079510703357</v>
      </c>
      <c r="G16" s="24">
        <v>22.5</v>
      </c>
      <c r="H16" s="16">
        <f>C16-C15</f>
        <v>31.493191272522957</v>
      </c>
      <c r="J16" s="10"/>
      <c r="K16" s="9">
        <f t="shared" si="4"/>
        <v>1098.5083790853005</v>
      </c>
      <c r="L16" s="13">
        <f t="shared" si="5"/>
        <v>1</v>
      </c>
      <c r="M16" s="13">
        <f t="shared" si="6"/>
        <v>0.9</v>
      </c>
      <c r="N16" s="8">
        <f t="shared" si="7"/>
        <v>1</v>
      </c>
      <c r="O16" s="14">
        <f t="shared" si="8"/>
        <v>1.635</v>
      </c>
      <c r="P16" s="15">
        <f t="shared" si="9"/>
        <v>61.162079510703357</v>
      </c>
    </row>
    <row r="17" spans="1:16" s="12" customFormat="1" ht="13.9" x14ac:dyDescent="0.25">
      <c r="A17" s="18">
        <f>0.75*B3</f>
        <v>8.3790670325362591</v>
      </c>
      <c r="B17" s="9">
        <f t="shared" si="0"/>
        <v>1127.5667499818394</v>
      </c>
      <c r="C17" s="9">
        <f t="shared" si="1"/>
        <v>94.479573817568848</v>
      </c>
      <c r="D17" s="9">
        <f t="shared" si="2"/>
        <v>1033.0871761642707</v>
      </c>
      <c r="E17" s="24">
        <v>2.2610000000000001</v>
      </c>
      <c r="F17" s="25">
        <f t="shared" si="3"/>
        <v>44.228217602830604</v>
      </c>
      <c r="G17" s="24">
        <v>22.1</v>
      </c>
      <c r="H17" s="16">
        <f>C17-C16</f>
        <v>33.116404856512276</v>
      </c>
      <c r="J17" s="10"/>
      <c r="K17" s="9">
        <f t="shared" si="4"/>
        <v>1127.5667499818394</v>
      </c>
      <c r="L17" s="13">
        <f t="shared" si="5"/>
        <v>1</v>
      </c>
      <c r="M17" s="13">
        <f t="shared" si="6"/>
        <v>0.9</v>
      </c>
      <c r="N17" s="8">
        <f t="shared" si="7"/>
        <v>1</v>
      </c>
      <c r="O17" s="14">
        <f t="shared" si="8"/>
        <v>2.2610000000000001</v>
      </c>
      <c r="P17" s="15">
        <f t="shared" si="9"/>
        <v>44.228217602830604</v>
      </c>
    </row>
    <row r="18" spans="1:16" s="12" customFormat="1" ht="13.9" x14ac:dyDescent="0.25">
      <c r="A18" s="18">
        <f>1*B3</f>
        <v>11.172089376715013</v>
      </c>
      <c r="B18" s="9">
        <f t="shared" si="0"/>
        <v>1156.6251208783785</v>
      </c>
      <c r="C18" s="9">
        <f t="shared" si="1"/>
        <v>129.21919225807051</v>
      </c>
      <c r="D18" s="9">
        <f t="shared" si="2"/>
        <v>1027.405928620308</v>
      </c>
      <c r="E18" s="24">
        <v>2.1949999999999998</v>
      </c>
      <c r="F18" s="25">
        <f t="shared" si="3"/>
        <v>45.558086560364472</v>
      </c>
      <c r="G18" s="24">
        <v>21.8</v>
      </c>
      <c r="H18" s="16">
        <f>C18-C17</f>
        <v>34.739618440501658</v>
      </c>
      <c r="J18" s="10"/>
      <c r="K18" s="9">
        <f t="shared" si="4"/>
        <v>1156.6251208783785</v>
      </c>
      <c r="L18" s="13">
        <f t="shared" si="5"/>
        <v>1</v>
      </c>
      <c r="M18" s="13">
        <f t="shared" si="6"/>
        <v>0.9</v>
      </c>
      <c r="N18" s="8">
        <f t="shared" si="7"/>
        <v>1</v>
      </c>
      <c r="O18" s="14">
        <f t="shared" si="8"/>
        <v>2.1949999999999998</v>
      </c>
      <c r="P18" s="15">
        <f t="shared" si="9"/>
        <v>45.558086560364472</v>
      </c>
    </row>
    <row r="19" spans="1:16" ht="13.9" x14ac:dyDescent="0.25">
      <c r="A19" s="18">
        <f>E6</f>
        <v>20.753614721775946</v>
      </c>
      <c r="B19" s="9">
        <f t="shared" si="0"/>
        <v>1256.3105092934272</v>
      </c>
      <c r="C19" s="9">
        <f t="shared" si="1"/>
        <v>260.72984280793912</v>
      </c>
      <c r="D19" s="9">
        <f t="shared" si="2"/>
        <v>995.58066648548811</v>
      </c>
      <c r="E19" s="24">
        <v>2.1560000000000001</v>
      </c>
      <c r="F19" s="25">
        <f t="shared" si="3"/>
        <v>46.382189239332092</v>
      </c>
      <c r="G19" s="24">
        <v>22.2</v>
      </c>
      <c r="H19" s="16">
        <f>C19-C18</f>
        <v>131.51065054986861</v>
      </c>
      <c r="J19" s="10"/>
      <c r="K19" s="9">
        <f t="shared" si="4"/>
        <v>1256.3105092934272</v>
      </c>
      <c r="L19" s="13">
        <f t="shared" si="5"/>
        <v>1</v>
      </c>
      <c r="M19" s="13">
        <f t="shared" si="6"/>
        <v>0.9</v>
      </c>
      <c r="N19" s="8">
        <f t="shared" si="7"/>
        <v>1</v>
      </c>
      <c r="O19" s="14">
        <f t="shared" si="8"/>
        <v>2.1560000000000001</v>
      </c>
      <c r="P19" s="15">
        <f t="shared" si="9"/>
        <v>46.382189239332092</v>
      </c>
    </row>
    <row r="22" spans="1:16" ht="13.9" x14ac:dyDescent="0.25">
      <c r="G22" s="22">
        <v>0.85</v>
      </c>
      <c r="H22" s="22">
        <v>0.05</v>
      </c>
      <c r="J22" s="22">
        <v>0.05</v>
      </c>
      <c r="K22" s="22">
        <v>0.9</v>
      </c>
    </row>
    <row r="23" spans="1:16" ht="13.9" x14ac:dyDescent="0.25">
      <c r="G23" s="23">
        <v>477.0992366412213</v>
      </c>
      <c r="H23" s="2">
        <v>20.9</v>
      </c>
      <c r="I23" s="2">
        <v>369.96</v>
      </c>
      <c r="J23" s="23">
        <f>G23*(5/100)</f>
        <v>23.854961832061065</v>
      </c>
      <c r="K23" s="23">
        <f>G23-J23</f>
        <v>453.24427480916023</v>
      </c>
      <c r="L23" s="2">
        <f>(1/K23)*100</f>
        <v>0.22063157894736846</v>
      </c>
    </row>
    <row r="24" spans="1:16" ht="13.9" x14ac:dyDescent="0.25">
      <c r="G24" s="23">
        <v>150.37593984962405</v>
      </c>
      <c r="H24" s="2">
        <v>21.8</v>
      </c>
      <c r="J24" s="23">
        <f t="shared" ref="J24:J28" si="10">G24*(5/100)</f>
        <v>7.518796992481203</v>
      </c>
      <c r="K24" s="23">
        <f t="shared" ref="K24:K28" si="11">G24-J24</f>
        <v>142.85714285714283</v>
      </c>
      <c r="L24" s="2">
        <f t="shared" ref="L24:L28" si="12">(1/K24)*100</f>
        <v>0.70000000000000007</v>
      </c>
    </row>
    <row r="25" spans="1:16" ht="13.9" x14ac:dyDescent="0.25">
      <c r="G25" s="23">
        <v>72.516316171138513</v>
      </c>
      <c r="H25" s="2">
        <v>21.8</v>
      </c>
      <c r="J25" s="23">
        <f t="shared" si="10"/>
        <v>3.6258158085569256</v>
      </c>
      <c r="K25" s="23">
        <f t="shared" si="11"/>
        <v>68.890500362581591</v>
      </c>
      <c r="L25" s="2">
        <f t="shared" si="12"/>
        <v>1.4515789473684209</v>
      </c>
    </row>
    <row r="26" spans="1:16" ht="13.9" x14ac:dyDescent="0.25">
      <c r="G26" s="23">
        <v>56.785917092561043</v>
      </c>
      <c r="H26" s="2">
        <v>21.7</v>
      </c>
      <c r="J26" s="23">
        <f t="shared" si="10"/>
        <v>2.8392958546280522</v>
      </c>
      <c r="K26" s="23">
        <f t="shared" si="11"/>
        <v>53.946621237932987</v>
      </c>
      <c r="L26" s="2">
        <f t="shared" si="12"/>
        <v>1.853684210526316</v>
      </c>
    </row>
    <row r="27" spans="1:16" ht="13.9" x14ac:dyDescent="0.25">
      <c r="G27" s="23">
        <v>39.61965134706815</v>
      </c>
      <c r="H27" s="2">
        <v>21.7</v>
      </c>
      <c r="J27" s="23">
        <f t="shared" si="10"/>
        <v>1.9809825673534076</v>
      </c>
      <c r="K27" s="23">
        <f t="shared" si="11"/>
        <v>37.638668779714742</v>
      </c>
      <c r="L27" s="2">
        <f t="shared" si="12"/>
        <v>2.6568421052631579</v>
      </c>
    </row>
    <row r="28" spans="1:16" ht="13.9" x14ac:dyDescent="0.25">
      <c r="G28" s="23">
        <v>48.076923076923073</v>
      </c>
      <c r="H28" s="2">
        <v>20.100000000000001</v>
      </c>
      <c r="J28" s="23">
        <f t="shared" si="10"/>
        <v>2.4038461538461537</v>
      </c>
      <c r="K28" s="23">
        <f t="shared" si="11"/>
        <v>45.67307692307692</v>
      </c>
      <c r="L28" s="2">
        <f t="shared" si="12"/>
        <v>2.1894736842105265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742F-B1EF-4646-8018-539F2406B8EB}">
  <dimension ref="A3:Q28"/>
  <sheetViews>
    <sheetView topLeftCell="D54" zoomScale="90" zoomScaleNormal="90" workbookViewId="0">
      <selection activeCell="V74" sqref="V74"/>
    </sheetView>
  </sheetViews>
  <sheetFormatPr defaultColWidth="8.85546875" defaultRowHeight="15" x14ac:dyDescent="0.25"/>
  <cols>
    <col min="1" max="1" width="24.7109375" style="2" customWidth="1"/>
    <col min="2" max="2" width="19.7109375" style="2" customWidth="1"/>
    <col min="3" max="3" width="18.28515625" style="2" customWidth="1"/>
    <col min="4" max="4" width="23.28515625" style="2" customWidth="1"/>
    <col min="5" max="7" width="18.28515625" style="2" customWidth="1"/>
    <col min="8" max="8" width="13.140625" style="2" customWidth="1"/>
    <col min="9" max="9" width="8.85546875" style="2"/>
    <col min="10" max="10" width="11.7109375" style="2" customWidth="1"/>
    <col min="11" max="11" width="13" style="2" customWidth="1"/>
    <col min="12" max="12" width="12.7109375" style="2" customWidth="1"/>
    <col min="13" max="13" width="11.7109375" style="2" customWidth="1"/>
    <col min="14" max="14" width="10.5703125" style="2" customWidth="1"/>
    <col min="15" max="15" width="12.5703125" style="2" customWidth="1"/>
    <col min="16" max="16" width="11.42578125" style="2" customWidth="1"/>
    <col min="17" max="16384" width="8.85546875" style="2"/>
  </cols>
  <sheetData>
    <row r="3" spans="1:17" x14ac:dyDescent="0.25">
      <c r="A3" s="1" t="s">
        <v>0</v>
      </c>
      <c r="B3" s="4">
        <v>15.9</v>
      </c>
      <c r="C3" s="1" t="s">
        <v>1</v>
      </c>
      <c r="D3" s="1" t="s">
        <v>2</v>
      </c>
      <c r="E3" s="1">
        <v>333.7</v>
      </c>
      <c r="G3" s="3" t="s">
        <v>3</v>
      </c>
      <c r="K3" s="1" t="s">
        <v>31</v>
      </c>
      <c r="L3" s="19">
        <v>9.2620000000000005</v>
      </c>
      <c r="M3" s="20" t="s">
        <v>32</v>
      </c>
      <c r="N3" s="19">
        <v>3.3300000000000003E-2</v>
      </c>
      <c r="P3" s="21" t="s">
        <v>35</v>
      </c>
      <c r="Q3" s="19">
        <v>144.4</v>
      </c>
    </row>
    <row r="4" spans="1:17" x14ac:dyDescent="0.25">
      <c r="A4" s="1" t="s">
        <v>4</v>
      </c>
      <c r="B4" s="1">
        <v>97</v>
      </c>
      <c r="C4" s="1" t="s">
        <v>5</v>
      </c>
      <c r="D4" s="1" t="s">
        <v>6</v>
      </c>
      <c r="E4" s="1">
        <v>2230.5</v>
      </c>
      <c r="G4" s="2" t="s">
        <v>7</v>
      </c>
      <c r="H4" s="2">
        <v>3</v>
      </c>
      <c r="I4" s="2" t="s">
        <v>8</v>
      </c>
      <c r="K4" s="1" t="s">
        <v>33</v>
      </c>
      <c r="L4" s="19">
        <v>14.4</v>
      </c>
      <c r="M4" s="20" t="s">
        <v>32</v>
      </c>
      <c r="N4" s="19">
        <v>7.4999999999999997E-2</v>
      </c>
      <c r="P4" s="21" t="s">
        <v>38</v>
      </c>
      <c r="Q4" s="19">
        <v>711.6</v>
      </c>
    </row>
    <row r="5" spans="1:17" x14ac:dyDescent="0.25">
      <c r="A5" s="1" t="s">
        <v>9</v>
      </c>
      <c r="B5" s="1">
        <v>0.9</v>
      </c>
      <c r="C5" s="1"/>
      <c r="D5" s="1" t="s">
        <v>10</v>
      </c>
      <c r="E5" s="1">
        <v>1783.7</v>
      </c>
      <c r="G5" s="2" t="s">
        <v>11</v>
      </c>
      <c r="H5" s="2">
        <v>6</v>
      </c>
      <c r="I5" s="2" t="s">
        <v>8</v>
      </c>
      <c r="P5" s="21" t="s">
        <v>39</v>
      </c>
      <c r="Q5" s="19">
        <v>654.6</v>
      </c>
    </row>
    <row r="6" spans="1:17" ht="18" x14ac:dyDescent="0.25">
      <c r="A6" s="1" t="s">
        <v>12</v>
      </c>
      <c r="B6" s="1">
        <f>B5*B4</f>
        <v>87.3</v>
      </c>
      <c r="C6" s="1" t="s">
        <v>5</v>
      </c>
      <c r="D6" s="1" t="s">
        <v>13</v>
      </c>
      <c r="E6" s="4">
        <f>(((E4-E3)-(E5-E3))/(E5-E3))*100</f>
        <v>30.813793103448273</v>
      </c>
      <c r="G6" s="2" t="s">
        <v>14</v>
      </c>
      <c r="H6" s="2">
        <f>3.14*H4*H4*H5/4</f>
        <v>42.39</v>
      </c>
      <c r="I6" s="2" t="s">
        <v>15</v>
      </c>
      <c r="K6" s="21" t="s">
        <v>34</v>
      </c>
      <c r="L6" s="19">
        <v>13.108000000000001</v>
      </c>
    </row>
    <row r="7" spans="1:17" ht="18" x14ac:dyDescent="0.25">
      <c r="H7" s="2">
        <f>H6/(12)^3</f>
        <v>2.4531250000000001E-2</v>
      </c>
      <c r="I7" s="2" t="s">
        <v>16</v>
      </c>
      <c r="K7" s="21" t="s">
        <v>36</v>
      </c>
      <c r="L7" s="19">
        <f>(L6-L3)/N3</f>
        <v>115.49549549549549</v>
      </c>
      <c r="P7" s="19" t="s">
        <v>40</v>
      </c>
      <c r="Q7" s="19">
        <f>(Q4-Q5)/(Q5-Q3)</f>
        <v>0.11172089376715012</v>
      </c>
    </row>
    <row r="8" spans="1:17" x14ac:dyDescent="0.25">
      <c r="E8" s="2">
        <v>21.3</v>
      </c>
      <c r="K8" s="21" t="s">
        <v>37</v>
      </c>
      <c r="L8" s="19">
        <f>L7/(1+Q7)</f>
        <v>103.88893124436143</v>
      </c>
    </row>
    <row r="10" spans="1:17" x14ac:dyDescent="0.25">
      <c r="M10" s="5"/>
    </row>
    <row r="13" spans="1:17" s="7" customFormat="1" ht="57" x14ac:dyDescent="0.25">
      <c r="A13" s="6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J13" s="6" t="s">
        <v>24</v>
      </c>
      <c r="K13" s="6" t="s">
        <v>25</v>
      </c>
      <c r="L13" s="6" t="s">
        <v>26</v>
      </c>
      <c r="M13" s="6" t="s">
        <v>27</v>
      </c>
      <c r="N13" s="6" t="s">
        <v>28</v>
      </c>
      <c r="O13" s="6" t="s">
        <v>29</v>
      </c>
      <c r="P13" s="6" t="s">
        <v>30</v>
      </c>
    </row>
    <row r="14" spans="1:17" s="12" customFormat="1" x14ac:dyDescent="0.25">
      <c r="A14" s="8">
        <f>0*B3</f>
        <v>0</v>
      </c>
      <c r="B14" s="9">
        <f t="shared" ref="B14:B19" si="0">$B$6*(1+0.01*A14)*$H$7*453.592</f>
        <v>971.40270487500004</v>
      </c>
      <c r="C14" s="9">
        <f t="shared" ref="C14:C19" si="1">A14*B14/100</f>
        <v>0</v>
      </c>
      <c r="D14" s="9">
        <f t="shared" ref="D14:D19" si="2">B14-C14</f>
        <v>971.40270487500004</v>
      </c>
      <c r="E14" s="24">
        <v>0.33090000000000003</v>
      </c>
      <c r="F14" s="10">
        <f t="shared" ref="F14:F19" si="3">(1/E14)*100</f>
        <v>302.20610456331218</v>
      </c>
      <c r="G14" s="24">
        <v>24.7</v>
      </c>
      <c r="H14" s="11"/>
      <c r="J14" s="10"/>
      <c r="K14" s="9">
        <f t="shared" ref="K14:K19" si="4">B14-J14</f>
        <v>971.40270487500004</v>
      </c>
      <c r="L14" s="13">
        <f t="shared" ref="L14:L19" si="5">K14/B14</f>
        <v>1</v>
      </c>
      <c r="M14" s="13">
        <f t="shared" ref="M14:M19" si="6">$B$5*L14</f>
        <v>0.9</v>
      </c>
      <c r="N14" s="8">
        <f t="shared" ref="N14:N19" si="7">$B$5/M14</f>
        <v>1</v>
      </c>
      <c r="O14" s="14">
        <f t="shared" ref="O14:O19" si="8">E14*N14</f>
        <v>0.33090000000000003</v>
      </c>
      <c r="P14" s="15">
        <f t="shared" ref="P14:P19" si="9">(1/O14)*100</f>
        <v>302.20610456331218</v>
      </c>
    </row>
    <row r="15" spans="1:17" s="12" customFormat="1" x14ac:dyDescent="0.25">
      <c r="A15" s="18">
        <f>0.25*$B$3</f>
        <v>3.9750000000000001</v>
      </c>
      <c r="B15" s="9">
        <f t="shared" si="0"/>
        <v>1010.0159623937813</v>
      </c>
      <c r="C15" s="9">
        <f t="shared" si="1"/>
        <v>40.148134505152804</v>
      </c>
      <c r="D15" s="9">
        <f t="shared" si="2"/>
        <v>969.86782788862843</v>
      </c>
      <c r="E15" s="24">
        <v>0.4753</v>
      </c>
      <c r="F15" s="10">
        <f t="shared" si="3"/>
        <v>210.39343572480539</v>
      </c>
      <c r="G15" s="24">
        <v>26.3</v>
      </c>
      <c r="H15" s="16">
        <f>C15</f>
        <v>40.148134505152804</v>
      </c>
      <c r="J15" s="10"/>
      <c r="K15" s="9">
        <f t="shared" si="4"/>
        <v>1010.0159623937813</v>
      </c>
      <c r="L15" s="13">
        <f t="shared" si="5"/>
        <v>1</v>
      </c>
      <c r="M15" s="13">
        <f t="shared" si="6"/>
        <v>0.9</v>
      </c>
      <c r="N15" s="8">
        <f t="shared" si="7"/>
        <v>1</v>
      </c>
      <c r="O15" s="14">
        <f t="shared" si="8"/>
        <v>0.4753</v>
      </c>
      <c r="P15" s="15">
        <f t="shared" si="9"/>
        <v>210.39343572480539</v>
      </c>
    </row>
    <row r="16" spans="1:17" s="12" customFormat="1" x14ac:dyDescent="0.25">
      <c r="A16" s="18">
        <f>0.5*B3</f>
        <v>7.95</v>
      </c>
      <c r="B16" s="9">
        <f t="shared" si="0"/>
        <v>1048.6292199125623</v>
      </c>
      <c r="C16" s="9">
        <f t="shared" si="1"/>
        <v>83.366022983048708</v>
      </c>
      <c r="D16" s="9">
        <f t="shared" si="2"/>
        <v>965.2631969295137</v>
      </c>
      <c r="E16" s="24">
        <v>0.62429999999999997</v>
      </c>
      <c r="F16" s="10">
        <f t="shared" si="3"/>
        <v>160.17940092904053</v>
      </c>
      <c r="G16" s="24">
        <v>25</v>
      </c>
      <c r="H16" s="16">
        <f>C16-C15</f>
        <v>43.217888477895904</v>
      </c>
      <c r="J16" s="10"/>
      <c r="K16" s="9">
        <f t="shared" si="4"/>
        <v>1048.6292199125623</v>
      </c>
      <c r="L16" s="13">
        <f t="shared" si="5"/>
        <v>1</v>
      </c>
      <c r="M16" s="13">
        <f t="shared" si="6"/>
        <v>0.9</v>
      </c>
      <c r="N16" s="8">
        <f t="shared" si="7"/>
        <v>1</v>
      </c>
      <c r="O16" s="14">
        <f t="shared" si="8"/>
        <v>0.62429999999999997</v>
      </c>
      <c r="P16" s="15">
        <f t="shared" si="9"/>
        <v>160.17940092904053</v>
      </c>
    </row>
    <row r="17" spans="1:16" s="12" customFormat="1" x14ac:dyDescent="0.25">
      <c r="A17" s="18">
        <f>0.75*B3</f>
        <v>11.925000000000001</v>
      </c>
      <c r="B17" s="9">
        <f t="shared" si="0"/>
        <v>1087.2424774313438</v>
      </c>
      <c r="C17" s="9">
        <f t="shared" si="1"/>
        <v>129.65366543368773</v>
      </c>
      <c r="D17" s="9">
        <f t="shared" si="2"/>
        <v>957.58881199765608</v>
      </c>
      <c r="E17" s="24">
        <v>1.0109999999999999</v>
      </c>
      <c r="F17" s="10">
        <f t="shared" si="3"/>
        <v>98.911968348170149</v>
      </c>
      <c r="G17" s="24">
        <v>23.8</v>
      </c>
      <c r="H17" s="16">
        <f>C17-C16</f>
        <v>46.287642450639026</v>
      </c>
      <c r="J17" s="10"/>
      <c r="K17" s="9">
        <f t="shared" si="4"/>
        <v>1087.2424774313438</v>
      </c>
      <c r="L17" s="13">
        <f t="shared" si="5"/>
        <v>1</v>
      </c>
      <c r="M17" s="13">
        <f t="shared" si="6"/>
        <v>0.9</v>
      </c>
      <c r="N17" s="8">
        <f t="shared" si="7"/>
        <v>1</v>
      </c>
      <c r="O17" s="14">
        <f t="shared" si="8"/>
        <v>1.0109999999999999</v>
      </c>
      <c r="P17" s="15">
        <f t="shared" si="9"/>
        <v>98.911968348170149</v>
      </c>
    </row>
    <row r="18" spans="1:16" s="12" customFormat="1" x14ac:dyDescent="0.25">
      <c r="A18" s="18">
        <f>1*B3</f>
        <v>15.9</v>
      </c>
      <c r="B18" s="9">
        <f t="shared" si="0"/>
        <v>1125.855734950125</v>
      </c>
      <c r="C18" s="9">
        <f t="shared" si="1"/>
        <v>179.01106185706988</v>
      </c>
      <c r="D18" s="9">
        <f t="shared" si="2"/>
        <v>946.84467309305512</v>
      </c>
      <c r="E18" s="24">
        <v>1.202</v>
      </c>
      <c r="F18" s="17">
        <f t="shared" si="3"/>
        <v>83.194675540765388</v>
      </c>
      <c r="G18" s="24">
        <v>22.6</v>
      </c>
      <c r="H18" s="16">
        <f>C18-C17</f>
        <v>49.357396423382141</v>
      </c>
      <c r="J18" s="10"/>
      <c r="K18" s="9">
        <f t="shared" si="4"/>
        <v>1125.855734950125</v>
      </c>
      <c r="L18" s="13">
        <f t="shared" si="5"/>
        <v>1</v>
      </c>
      <c r="M18" s="13">
        <f t="shared" si="6"/>
        <v>0.9</v>
      </c>
      <c r="N18" s="8">
        <f t="shared" si="7"/>
        <v>1</v>
      </c>
      <c r="O18" s="14">
        <f t="shared" si="8"/>
        <v>1.202</v>
      </c>
      <c r="P18" s="15">
        <f t="shared" si="9"/>
        <v>83.194675540765388</v>
      </c>
    </row>
    <row r="19" spans="1:16" x14ac:dyDescent="0.25">
      <c r="A19" s="18">
        <f>E6</f>
        <v>30.813793103448273</v>
      </c>
      <c r="B19" s="9">
        <f t="shared" si="0"/>
        <v>1270.7287245564828</v>
      </c>
      <c r="C19" s="9">
        <f t="shared" si="1"/>
        <v>391.5597200909217</v>
      </c>
      <c r="D19" s="9">
        <f t="shared" si="2"/>
        <v>879.1690044655611</v>
      </c>
      <c r="E19" s="24">
        <v>0.99850000000000005</v>
      </c>
      <c r="F19" s="17">
        <f t="shared" si="3"/>
        <v>100.15022533800702</v>
      </c>
      <c r="G19" s="24">
        <v>21.9</v>
      </c>
      <c r="H19" s="16">
        <f>C19-C18</f>
        <v>212.54865823385182</v>
      </c>
      <c r="J19" s="10"/>
      <c r="K19" s="9">
        <f t="shared" si="4"/>
        <v>1270.7287245564828</v>
      </c>
      <c r="L19" s="13">
        <f t="shared" si="5"/>
        <v>1</v>
      </c>
      <c r="M19" s="13">
        <f t="shared" si="6"/>
        <v>0.9</v>
      </c>
      <c r="N19" s="8">
        <f t="shared" si="7"/>
        <v>1</v>
      </c>
      <c r="O19" s="14">
        <f t="shared" si="8"/>
        <v>0.99850000000000005</v>
      </c>
      <c r="P19" s="15">
        <f t="shared" si="9"/>
        <v>100.15022533800702</v>
      </c>
    </row>
    <row r="22" spans="1:16" x14ac:dyDescent="0.25">
      <c r="G22" s="22">
        <v>0.85</v>
      </c>
      <c r="H22" s="22">
        <v>0.05</v>
      </c>
      <c r="J22" s="22">
        <v>0.05</v>
      </c>
      <c r="K22" s="22">
        <v>0.9</v>
      </c>
    </row>
    <row r="23" spans="1:16" x14ac:dyDescent="0.25">
      <c r="G23" s="23">
        <v>477.0992366412213</v>
      </c>
      <c r="H23" s="2">
        <v>20.9</v>
      </c>
      <c r="I23" s="2">
        <v>369.96</v>
      </c>
      <c r="J23" s="23">
        <f>G23*(5/100)</f>
        <v>23.854961832061065</v>
      </c>
      <c r="K23" s="23">
        <f>G23-J23</f>
        <v>453.24427480916023</v>
      </c>
      <c r="L23" s="2">
        <f>(1/K23)*100</f>
        <v>0.22063157894736846</v>
      </c>
    </row>
    <row r="24" spans="1:16" x14ac:dyDescent="0.25">
      <c r="G24" s="23">
        <v>150.37593984962405</v>
      </c>
      <c r="H24" s="2">
        <v>21.8</v>
      </c>
      <c r="J24" s="23">
        <f t="shared" ref="J24:J28" si="10">G24*(5/100)</f>
        <v>7.518796992481203</v>
      </c>
      <c r="K24" s="23">
        <f t="shared" ref="K24:K28" si="11">G24-J24</f>
        <v>142.85714285714283</v>
      </c>
      <c r="L24" s="2">
        <f t="shared" ref="L24:L28" si="12">(1/K24)*100</f>
        <v>0.70000000000000007</v>
      </c>
    </row>
    <row r="25" spans="1:16" x14ac:dyDescent="0.25">
      <c r="G25" s="23">
        <v>72.516316171138513</v>
      </c>
      <c r="H25" s="2">
        <v>21.8</v>
      </c>
      <c r="J25" s="23">
        <f t="shared" si="10"/>
        <v>3.6258158085569256</v>
      </c>
      <c r="K25" s="23">
        <f t="shared" si="11"/>
        <v>68.890500362581591</v>
      </c>
      <c r="L25" s="2">
        <f t="shared" si="12"/>
        <v>1.4515789473684209</v>
      </c>
    </row>
    <row r="26" spans="1:16" x14ac:dyDescent="0.25">
      <c r="G26" s="23">
        <v>56.785917092561043</v>
      </c>
      <c r="H26" s="2">
        <v>21.7</v>
      </c>
      <c r="J26" s="23">
        <f t="shared" si="10"/>
        <v>2.8392958546280522</v>
      </c>
      <c r="K26" s="23">
        <f t="shared" si="11"/>
        <v>53.946621237932987</v>
      </c>
      <c r="L26" s="2">
        <f t="shared" si="12"/>
        <v>1.853684210526316</v>
      </c>
    </row>
    <row r="27" spans="1:16" x14ac:dyDescent="0.25">
      <c r="G27" s="23">
        <v>39.61965134706815</v>
      </c>
      <c r="H27" s="2">
        <v>21.7</v>
      </c>
      <c r="J27" s="23">
        <f t="shared" si="10"/>
        <v>1.9809825673534076</v>
      </c>
      <c r="K27" s="23">
        <f t="shared" si="11"/>
        <v>37.638668779714742</v>
      </c>
      <c r="L27" s="2">
        <f t="shared" si="12"/>
        <v>2.6568421052631579</v>
      </c>
    </row>
    <row r="28" spans="1:16" x14ac:dyDescent="0.25">
      <c r="G28" s="23">
        <v>48.076923076923073</v>
      </c>
      <c r="H28" s="2">
        <v>20.100000000000001</v>
      </c>
      <c r="J28" s="23">
        <f t="shared" si="10"/>
        <v>2.4038461538461537</v>
      </c>
      <c r="K28" s="23">
        <f t="shared" si="11"/>
        <v>45.67307692307692</v>
      </c>
      <c r="L28" s="2">
        <f t="shared" si="12"/>
        <v>2.1894736842105265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1ADD-4A8F-4DC8-A9B3-44683E25F935}">
  <dimension ref="A3:Q28"/>
  <sheetViews>
    <sheetView topLeftCell="A9" zoomScaleNormal="100" workbookViewId="0">
      <selection activeCell="E15" sqref="E15"/>
    </sheetView>
  </sheetViews>
  <sheetFormatPr defaultColWidth="8.85546875" defaultRowHeight="15" x14ac:dyDescent="0.25"/>
  <cols>
    <col min="1" max="1" width="24.7109375" style="2" customWidth="1"/>
    <col min="2" max="2" width="19.7109375" style="2" customWidth="1"/>
    <col min="3" max="3" width="18.28515625" style="2" customWidth="1"/>
    <col min="4" max="4" width="23.28515625" style="2" customWidth="1"/>
    <col min="5" max="7" width="18.28515625" style="2" customWidth="1"/>
    <col min="8" max="8" width="13.140625" style="2" customWidth="1"/>
    <col min="9" max="9" width="8.85546875" style="2"/>
    <col min="10" max="10" width="11.7109375" style="2" customWidth="1"/>
    <col min="11" max="11" width="13" style="2" customWidth="1"/>
    <col min="12" max="12" width="12.7109375" style="2" customWidth="1"/>
    <col min="13" max="13" width="11.7109375" style="2" customWidth="1"/>
    <col min="14" max="14" width="10.5703125" style="2" customWidth="1"/>
    <col min="15" max="15" width="12.5703125" style="2" customWidth="1"/>
    <col min="16" max="16" width="11.42578125" style="2" customWidth="1"/>
    <col min="17" max="16384" width="8.85546875" style="2"/>
  </cols>
  <sheetData>
    <row r="3" spans="1:17" x14ac:dyDescent="0.25">
      <c r="A3" s="1" t="s">
        <v>0</v>
      </c>
      <c r="B3" s="4">
        <v>15.9</v>
      </c>
      <c r="C3" s="1" t="s">
        <v>1</v>
      </c>
      <c r="D3" s="1" t="s">
        <v>2</v>
      </c>
      <c r="E3" s="1">
        <v>333.7</v>
      </c>
      <c r="G3" s="3" t="s">
        <v>3</v>
      </c>
      <c r="K3" s="1" t="s">
        <v>31</v>
      </c>
      <c r="L3" s="19">
        <v>9.2620000000000005</v>
      </c>
      <c r="M3" s="20" t="s">
        <v>32</v>
      </c>
      <c r="N3" s="19">
        <v>3.3300000000000003E-2</v>
      </c>
      <c r="P3" s="21" t="s">
        <v>35</v>
      </c>
      <c r="Q3" s="19">
        <v>144.4</v>
      </c>
    </row>
    <row r="4" spans="1:17" x14ac:dyDescent="0.25">
      <c r="A4" s="1" t="s">
        <v>4</v>
      </c>
      <c r="B4" s="1">
        <v>97</v>
      </c>
      <c r="C4" s="1" t="s">
        <v>5</v>
      </c>
      <c r="D4" s="1" t="s">
        <v>6</v>
      </c>
      <c r="E4" s="1">
        <v>2230.5</v>
      </c>
      <c r="G4" s="2" t="s">
        <v>7</v>
      </c>
      <c r="H4" s="2">
        <v>3</v>
      </c>
      <c r="I4" s="2" t="s">
        <v>8</v>
      </c>
      <c r="K4" s="1" t="s">
        <v>33</v>
      </c>
      <c r="L4" s="19">
        <v>14.4</v>
      </c>
      <c r="M4" s="20" t="s">
        <v>32</v>
      </c>
      <c r="N4" s="19">
        <v>7.4999999999999997E-2</v>
      </c>
      <c r="P4" s="21" t="s">
        <v>38</v>
      </c>
      <c r="Q4" s="19">
        <v>711.6</v>
      </c>
    </row>
    <row r="5" spans="1:17" x14ac:dyDescent="0.25">
      <c r="A5" s="1" t="s">
        <v>9</v>
      </c>
      <c r="B5" s="1">
        <v>0.9</v>
      </c>
      <c r="C5" s="1"/>
      <c r="D5" s="1" t="s">
        <v>10</v>
      </c>
      <c r="E5" s="1">
        <v>1783.7</v>
      </c>
      <c r="G5" s="2" t="s">
        <v>11</v>
      </c>
      <c r="H5" s="2">
        <v>6</v>
      </c>
      <c r="I5" s="2" t="s">
        <v>8</v>
      </c>
      <c r="P5" s="21" t="s">
        <v>39</v>
      </c>
      <c r="Q5" s="19">
        <v>654.6</v>
      </c>
    </row>
    <row r="6" spans="1:17" ht="18" x14ac:dyDescent="0.25">
      <c r="A6" s="1" t="s">
        <v>12</v>
      </c>
      <c r="B6" s="1">
        <f>B5*B4</f>
        <v>87.3</v>
      </c>
      <c r="C6" s="1" t="s">
        <v>5</v>
      </c>
      <c r="D6" s="1" t="s">
        <v>13</v>
      </c>
      <c r="E6" s="4">
        <f>(((E4-E3)-(E5-E3))/(E5-E3))*100</f>
        <v>30.813793103448273</v>
      </c>
      <c r="G6" s="2" t="s">
        <v>14</v>
      </c>
      <c r="H6" s="2">
        <f>3.14*H4*H4*H5/4</f>
        <v>42.39</v>
      </c>
      <c r="I6" s="2" t="s">
        <v>15</v>
      </c>
      <c r="K6" s="21" t="s">
        <v>34</v>
      </c>
      <c r="L6" s="19">
        <v>13.108000000000001</v>
      </c>
    </row>
    <row r="7" spans="1:17" ht="18" x14ac:dyDescent="0.25">
      <c r="H7" s="2">
        <f>H6/(12)^3</f>
        <v>2.4531250000000001E-2</v>
      </c>
      <c r="I7" s="2" t="s">
        <v>16</v>
      </c>
      <c r="K7" s="21" t="s">
        <v>36</v>
      </c>
      <c r="L7" s="19">
        <f>(L6-L3)/N3</f>
        <v>115.49549549549549</v>
      </c>
      <c r="P7" s="19" t="s">
        <v>40</v>
      </c>
      <c r="Q7" s="19">
        <f>(Q4-Q5)/(Q5-Q3)</f>
        <v>0.11172089376715012</v>
      </c>
    </row>
    <row r="8" spans="1:17" x14ac:dyDescent="0.25">
      <c r="E8" s="2">
        <v>21.3</v>
      </c>
      <c r="K8" s="21" t="s">
        <v>37</v>
      </c>
      <c r="L8" s="19">
        <f>L7/(1+Q7)</f>
        <v>103.88893124436143</v>
      </c>
    </row>
    <row r="10" spans="1:17" x14ac:dyDescent="0.25">
      <c r="M10" s="5"/>
    </row>
    <row r="13" spans="1:17" s="7" customFormat="1" ht="57" x14ac:dyDescent="0.25">
      <c r="A13" s="6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J13" s="6" t="s">
        <v>24</v>
      </c>
      <c r="K13" s="6" t="s">
        <v>25</v>
      </c>
      <c r="L13" s="6" t="s">
        <v>26</v>
      </c>
      <c r="M13" s="6" t="s">
        <v>27</v>
      </c>
      <c r="N13" s="6" t="s">
        <v>28</v>
      </c>
      <c r="O13" s="6" t="s">
        <v>29</v>
      </c>
      <c r="P13" s="6" t="s">
        <v>30</v>
      </c>
    </row>
    <row r="14" spans="1:17" s="12" customFormat="1" x14ac:dyDescent="0.25">
      <c r="A14" s="8">
        <f>0*B3</f>
        <v>0</v>
      </c>
      <c r="B14" s="9">
        <f t="shared" ref="B14:B19" si="0">$B$6*(1+0.01*A14)*$H$7*453.592</f>
        <v>971.40270487500004</v>
      </c>
      <c r="C14" s="9">
        <f t="shared" ref="C14:C19" si="1">A14*B14/100</f>
        <v>0</v>
      </c>
      <c r="D14" s="9">
        <f t="shared" ref="D14:D19" si="2">B14-C14</f>
        <v>971.40270487500004</v>
      </c>
      <c r="E14" s="24">
        <v>0.33090000000000003</v>
      </c>
      <c r="F14" s="10">
        <f t="shared" ref="F14:F19" si="3">(1/E14)*100</f>
        <v>302.20610456331218</v>
      </c>
      <c r="G14" s="24">
        <v>24.7</v>
      </c>
      <c r="H14" s="11"/>
      <c r="J14" s="10"/>
      <c r="K14" s="9">
        <f t="shared" ref="K14:K19" si="4">B14-J14</f>
        <v>971.40270487500004</v>
      </c>
      <c r="L14" s="13">
        <f t="shared" ref="L14:L19" si="5">K14/B14</f>
        <v>1</v>
      </c>
      <c r="M14" s="13">
        <f t="shared" ref="M14:M19" si="6">$B$5*L14</f>
        <v>0.9</v>
      </c>
      <c r="N14" s="8">
        <f t="shared" ref="N14:N19" si="7">$B$5/M14</f>
        <v>1</v>
      </c>
      <c r="O14" s="14">
        <f t="shared" ref="O14:O19" si="8">E14*N14</f>
        <v>0.33090000000000003</v>
      </c>
      <c r="P14" s="15">
        <f t="shared" ref="P14:P19" si="9">(1/O14)*100</f>
        <v>302.20610456331218</v>
      </c>
    </row>
    <row r="15" spans="1:17" s="12" customFormat="1" x14ac:dyDescent="0.25">
      <c r="A15" s="18">
        <f>0.25*$B$3</f>
        <v>3.9750000000000001</v>
      </c>
      <c r="B15" s="9">
        <f t="shared" si="0"/>
        <v>1010.0159623937813</v>
      </c>
      <c r="C15" s="9">
        <f t="shared" si="1"/>
        <v>40.148134505152804</v>
      </c>
      <c r="D15" s="9">
        <f t="shared" si="2"/>
        <v>969.86782788862843</v>
      </c>
      <c r="E15" s="24">
        <v>0.4753</v>
      </c>
      <c r="F15" s="10">
        <f t="shared" si="3"/>
        <v>210.39343572480539</v>
      </c>
      <c r="G15" s="24">
        <v>26.3</v>
      </c>
      <c r="H15" s="16">
        <f>C15</f>
        <v>40.148134505152804</v>
      </c>
      <c r="J15" s="10"/>
      <c r="K15" s="9">
        <f t="shared" si="4"/>
        <v>1010.0159623937813</v>
      </c>
      <c r="L15" s="13">
        <f t="shared" si="5"/>
        <v>1</v>
      </c>
      <c r="M15" s="13">
        <f t="shared" si="6"/>
        <v>0.9</v>
      </c>
      <c r="N15" s="8">
        <f t="shared" si="7"/>
        <v>1</v>
      </c>
      <c r="O15" s="14">
        <f t="shared" si="8"/>
        <v>0.4753</v>
      </c>
      <c r="P15" s="15">
        <f t="shared" si="9"/>
        <v>210.39343572480539</v>
      </c>
    </row>
    <row r="16" spans="1:17" s="12" customFormat="1" x14ac:dyDescent="0.25">
      <c r="A16" s="18">
        <f>0.5*B3</f>
        <v>7.95</v>
      </c>
      <c r="B16" s="9">
        <f t="shared" si="0"/>
        <v>1048.6292199125623</v>
      </c>
      <c r="C16" s="9">
        <f t="shared" si="1"/>
        <v>83.366022983048708</v>
      </c>
      <c r="D16" s="9">
        <f t="shared" si="2"/>
        <v>965.2631969295137</v>
      </c>
      <c r="E16" s="24">
        <v>0.62429999999999997</v>
      </c>
      <c r="F16" s="10">
        <f t="shared" si="3"/>
        <v>160.17940092904053</v>
      </c>
      <c r="G16" s="24">
        <v>25</v>
      </c>
      <c r="H16" s="16">
        <f>C16-C15</f>
        <v>43.217888477895904</v>
      </c>
      <c r="J16" s="10"/>
      <c r="K16" s="9">
        <f t="shared" si="4"/>
        <v>1048.6292199125623</v>
      </c>
      <c r="L16" s="13">
        <f t="shared" si="5"/>
        <v>1</v>
      </c>
      <c r="M16" s="13">
        <f t="shared" si="6"/>
        <v>0.9</v>
      </c>
      <c r="N16" s="8">
        <f t="shared" si="7"/>
        <v>1</v>
      </c>
      <c r="O16" s="14">
        <f t="shared" si="8"/>
        <v>0.62429999999999997</v>
      </c>
      <c r="P16" s="15">
        <f t="shared" si="9"/>
        <v>160.17940092904053</v>
      </c>
    </row>
    <row r="17" spans="1:16" s="12" customFormat="1" x14ac:dyDescent="0.25">
      <c r="A17" s="18">
        <f>0.75*B3</f>
        <v>11.925000000000001</v>
      </c>
      <c r="B17" s="9">
        <f t="shared" si="0"/>
        <v>1087.2424774313438</v>
      </c>
      <c r="C17" s="9">
        <f t="shared" si="1"/>
        <v>129.65366543368773</v>
      </c>
      <c r="D17" s="9">
        <f t="shared" si="2"/>
        <v>957.58881199765608</v>
      </c>
      <c r="E17" s="24">
        <v>1.0109999999999999</v>
      </c>
      <c r="F17" s="10">
        <f t="shared" si="3"/>
        <v>98.911968348170149</v>
      </c>
      <c r="G17" s="24">
        <v>23.8</v>
      </c>
      <c r="H17" s="16">
        <f>C17-C16</f>
        <v>46.287642450639026</v>
      </c>
      <c r="J17" s="10"/>
      <c r="K17" s="9">
        <f t="shared" si="4"/>
        <v>1087.2424774313438</v>
      </c>
      <c r="L17" s="13">
        <f t="shared" si="5"/>
        <v>1</v>
      </c>
      <c r="M17" s="13">
        <f t="shared" si="6"/>
        <v>0.9</v>
      </c>
      <c r="N17" s="8">
        <f t="shared" si="7"/>
        <v>1</v>
      </c>
      <c r="O17" s="14">
        <f t="shared" si="8"/>
        <v>1.0109999999999999</v>
      </c>
      <c r="P17" s="15">
        <f t="shared" si="9"/>
        <v>98.911968348170149</v>
      </c>
    </row>
    <row r="18" spans="1:16" s="12" customFormat="1" x14ac:dyDescent="0.25">
      <c r="A18" s="18">
        <f>1*B3</f>
        <v>15.9</v>
      </c>
      <c r="B18" s="9">
        <f t="shared" si="0"/>
        <v>1125.855734950125</v>
      </c>
      <c r="C18" s="9">
        <f t="shared" si="1"/>
        <v>179.01106185706988</v>
      </c>
      <c r="D18" s="9">
        <f t="shared" si="2"/>
        <v>946.84467309305512</v>
      </c>
      <c r="E18" s="24">
        <v>1.202</v>
      </c>
      <c r="F18" s="17">
        <f t="shared" si="3"/>
        <v>83.194675540765388</v>
      </c>
      <c r="G18" s="24">
        <v>22.6</v>
      </c>
      <c r="H18" s="16">
        <f>C18-C17</f>
        <v>49.357396423382141</v>
      </c>
      <c r="J18" s="10"/>
      <c r="K18" s="9">
        <f t="shared" si="4"/>
        <v>1125.855734950125</v>
      </c>
      <c r="L18" s="13">
        <f t="shared" si="5"/>
        <v>1</v>
      </c>
      <c r="M18" s="13">
        <f t="shared" si="6"/>
        <v>0.9</v>
      </c>
      <c r="N18" s="8">
        <f t="shared" si="7"/>
        <v>1</v>
      </c>
      <c r="O18" s="14">
        <f t="shared" si="8"/>
        <v>1.202</v>
      </c>
      <c r="P18" s="15">
        <f t="shared" si="9"/>
        <v>83.194675540765388</v>
      </c>
    </row>
    <row r="19" spans="1:16" x14ac:dyDescent="0.25">
      <c r="A19" s="18">
        <f>E6</f>
        <v>30.813793103448273</v>
      </c>
      <c r="B19" s="9">
        <f t="shared" si="0"/>
        <v>1270.7287245564828</v>
      </c>
      <c r="C19" s="9">
        <f t="shared" si="1"/>
        <v>391.5597200909217</v>
      </c>
      <c r="D19" s="9">
        <f t="shared" si="2"/>
        <v>879.1690044655611</v>
      </c>
      <c r="E19" s="24">
        <v>0.99850000000000005</v>
      </c>
      <c r="F19" s="17">
        <f t="shared" si="3"/>
        <v>100.15022533800702</v>
      </c>
      <c r="G19" s="24">
        <v>21.9</v>
      </c>
      <c r="H19" s="16">
        <f>C19-C18</f>
        <v>212.54865823385182</v>
      </c>
      <c r="J19" s="10"/>
      <c r="K19" s="9">
        <f t="shared" si="4"/>
        <v>1270.7287245564828</v>
      </c>
      <c r="L19" s="13">
        <f t="shared" si="5"/>
        <v>1</v>
      </c>
      <c r="M19" s="13">
        <f t="shared" si="6"/>
        <v>0.9</v>
      </c>
      <c r="N19" s="8">
        <f t="shared" si="7"/>
        <v>1</v>
      </c>
      <c r="O19" s="14">
        <f t="shared" si="8"/>
        <v>0.99850000000000005</v>
      </c>
      <c r="P19" s="15">
        <f t="shared" si="9"/>
        <v>100.15022533800702</v>
      </c>
    </row>
    <row r="22" spans="1:16" x14ac:dyDescent="0.25">
      <c r="G22" s="22">
        <v>0.85</v>
      </c>
      <c r="H22" s="22">
        <v>0.05</v>
      </c>
      <c r="J22" s="22">
        <v>0.05</v>
      </c>
      <c r="K22" s="22">
        <v>0.9</v>
      </c>
    </row>
    <row r="23" spans="1:16" x14ac:dyDescent="0.25">
      <c r="G23" s="23">
        <v>477.0992366412213</v>
      </c>
      <c r="H23" s="2">
        <v>20.9</v>
      </c>
      <c r="I23" s="2">
        <v>369.96</v>
      </c>
      <c r="J23" s="23">
        <f>G23*(5/100)</f>
        <v>23.854961832061065</v>
      </c>
      <c r="K23" s="23">
        <f>G23-J23</f>
        <v>453.24427480916023</v>
      </c>
      <c r="L23" s="2">
        <f>(1/K23)*100</f>
        <v>0.22063157894736846</v>
      </c>
    </row>
    <row r="24" spans="1:16" x14ac:dyDescent="0.25">
      <c r="G24" s="23">
        <v>150.37593984962405</v>
      </c>
      <c r="H24" s="2">
        <v>21.8</v>
      </c>
      <c r="J24" s="23">
        <f t="shared" ref="J24:J28" si="10">G24*(5/100)</f>
        <v>7.518796992481203</v>
      </c>
      <c r="K24" s="23">
        <f t="shared" ref="K24:K28" si="11">G24-J24</f>
        <v>142.85714285714283</v>
      </c>
      <c r="L24" s="2">
        <f t="shared" ref="L24:L28" si="12">(1/K24)*100</f>
        <v>0.70000000000000007</v>
      </c>
    </row>
    <row r="25" spans="1:16" x14ac:dyDescent="0.25">
      <c r="G25" s="23">
        <v>72.516316171138513</v>
      </c>
      <c r="H25" s="2">
        <v>21.8</v>
      </c>
      <c r="J25" s="23">
        <f t="shared" si="10"/>
        <v>3.6258158085569256</v>
      </c>
      <c r="K25" s="23">
        <f t="shared" si="11"/>
        <v>68.890500362581591</v>
      </c>
      <c r="L25" s="2">
        <f t="shared" si="12"/>
        <v>1.4515789473684209</v>
      </c>
    </row>
    <row r="26" spans="1:16" x14ac:dyDescent="0.25">
      <c r="G26" s="23">
        <v>56.785917092561043</v>
      </c>
      <c r="H26" s="2">
        <v>21.7</v>
      </c>
      <c r="J26" s="23">
        <f t="shared" si="10"/>
        <v>2.8392958546280522</v>
      </c>
      <c r="K26" s="23">
        <f t="shared" si="11"/>
        <v>53.946621237932987</v>
      </c>
      <c r="L26" s="2">
        <f t="shared" si="12"/>
        <v>1.853684210526316</v>
      </c>
    </row>
    <row r="27" spans="1:16" x14ac:dyDescent="0.25">
      <c r="G27" s="23">
        <v>39.61965134706815</v>
      </c>
      <c r="H27" s="2">
        <v>21.7</v>
      </c>
      <c r="J27" s="23">
        <f t="shared" si="10"/>
        <v>1.9809825673534076</v>
      </c>
      <c r="K27" s="23">
        <f t="shared" si="11"/>
        <v>37.638668779714742</v>
      </c>
      <c r="L27" s="2">
        <f t="shared" si="12"/>
        <v>2.6568421052631579</v>
      </c>
    </row>
    <row r="28" spans="1:16" x14ac:dyDescent="0.25">
      <c r="G28" s="23">
        <v>48.076923076923073</v>
      </c>
      <c r="H28" s="2">
        <v>20.100000000000001</v>
      </c>
      <c r="J28" s="23">
        <f t="shared" si="10"/>
        <v>2.4038461538461537</v>
      </c>
      <c r="K28" s="23">
        <f t="shared" si="11"/>
        <v>45.67307692307692</v>
      </c>
      <c r="L28" s="2">
        <f t="shared" si="12"/>
        <v>2.1894736842105265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C583-946A-494A-9FE5-3398B4C33AB6}">
  <dimension ref="A3:Q28"/>
  <sheetViews>
    <sheetView topLeftCell="A12" zoomScaleNormal="100" workbookViewId="0">
      <selection activeCell="F29" sqref="F29"/>
    </sheetView>
  </sheetViews>
  <sheetFormatPr defaultColWidth="8.85546875" defaultRowHeight="15" x14ac:dyDescent="0.25"/>
  <cols>
    <col min="1" max="1" width="24.7109375" style="2" customWidth="1"/>
    <col min="2" max="2" width="19.7109375" style="2" customWidth="1"/>
    <col min="3" max="3" width="18.28515625" style="2" customWidth="1"/>
    <col min="4" max="4" width="23.28515625" style="2" customWidth="1"/>
    <col min="5" max="7" width="18.28515625" style="2" customWidth="1"/>
    <col min="8" max="8" width="13.140625" style="2" customWidth="1"/>
    <col min="9" max="9" width="8.85546875" style="2"/>
    <col min="10" max="10" width="11.7109375" style="2" customWidth="1"/>
    <col min="11" max="11" width="13" style="2" customWidth="1"/>
    <col min="12" max="12" width="12.7109375" style="2" customWidth="1"/>
    <col min="13" max="13" width="11.7109375" style="2" customWidth="1"/>
    <col min="14" max="14" width="10.5703125" style="2" customWidth="1"/>
    <col min="15" max="15" width="12.5703125" style="2" customWidth="1"/>
    <col min="16" max="16" width="11.42578125" style="2" customWidth="1"/>
    <col min="17" max="16384" width="8.85546875" style="2"/>
  </cols>
  <sheetData>
    <row r="3" spans="1:17" x14ac:dyDescent="0.25">
      <c r="A3" s="1" t="s">
        <v>0</v>
      </c>
      <c r="B3" s="4">
        <v>15.9</v>
      </c>
      <c r="C3" s="1" t="s">
        <v>1</v>
      </c>
      <c r="D3" s="1" t="s">
        <v>2</v>
      </c>
      <c r="E3" s="26">
        <v>322.3</v>
      </c>
      <c r="G3" s="3" t="s">
        <v>3</v>
      </c>
      <c r="K3" s="1" t="s">
        <v>31</v>
      </c>
      <c r="L3" s="19">
        <v>9.2620000000000005</v>
      </c>
      <c r="M3" s="20" t="s">
        <v>32</v>
      </c>
      <c r="N3" s="19">
        <v>3.3300000000000003E-2</v>
      </c>
      <c r="P3" s="21" t="s">
        <v>35</v>
      </c>
      <c r="Q3" s="19">
        <v>144.4</v>
      </c>
    </row>
    <row r="4" spans="1:17" x14ac:dyDescent="0.25">
      <c r="A4" s="1" t="s">
        <v>4</v>
      </c>
      <c r="B4" s="1">
        <v>97</v>
      </c>
      <c r="C4" s="1" t="s">
        <v>5</v>
      </c>
      <c r="D4" s="1" t="s">
        <v>6</v>
      </c>
      <c r="E4" s="26">
        <v>2125</v>
      </c>
      <c r="G4" s="2" t="s">
        <v>7</v>
      </c>
      <c r="H4" s="2">
        <v>3</v>
      </c>
      <c r="I4" s="2" t="s">
        <v>8</v>
      </c>
      <c r="K4" s="1" t="s">
        <v>33</v>
      </c>
      <c r="L4" s="19">
        <v>14.4</v>
      </c>
      <c r="M4" s="20" t="s">
        <v>32</v>
      </c>
      <c r="N4" s="19">
        <v>7.4999999999999997E-2</v>
      </c>
      <c r="P4" s="21" t="s">
        <v>38</v>
      </c>
      <c r="Q4" s="19">
        <v>711.6</v>
      </c>
    </row>
    <row r="5" spans="1:17" x14ac:dyDescent="0.25">
      <c r="A5" s="1" t="s">
        <v>9</v>
      </c>
      <c r="B5" s="1">
        <v>0.9</v>
      </c>
      <c r="C5" s="1"/>
      <c r="D5" s="1" t="s">
        <v>10</v>
      </c>
      <c r="E5" s="26">
        <v>1709.9</v>
      </c>
      <c r="G5" s="2" t="s">
        <v>11</v>
      </c>
      <c r="H5" s="2">
        <v>6</v>
      </c>
      <c r="I5" s="2" t="s">
        <v>8</v>
      </c>
      <c r="P5" s="21" t="s">
        <v>39</v>
      </c>
      <c r="Q5" s="19">
        <v>654.6</v>
      </c>
    </row>
    <row r="6" spans="1:17" ht="18" x14ac:dyDescent="0.25">
      <c r="A6" s="1" t="s">
        <v>12</v>
      </c>
      <c r="B6" s="1">
        <f>B5*B4</f>
        <v>87.3</v>
      </c>
      <c r="C6" s="1" t="s">
        <v>5</v>
      </c>
      <c r="D6" s="1" t="s">
        <v>13</v>
      </c>
      <c r="E6" s="27">
        <f>(((E4-E3)-(E5-E3))/(E5-E3))*100</f>
        <v>29.914961083885839</v>
      </c>
      <c r="G6" s="2" t="s">
        <v>14</v>
      </c>
      <c r="H6" s="2">
        <f>3.14*H4*H4*H5/4</f>
        <v>42.39</v>
      </c>
      <c r="I6" s="2" t="s">
        <v>15</v>
      </c>
      <c r="K6" s="21" t="s">
        <v>34</v>
      </c>
      <c r="L6" s="19">
        <v>13.108000000000001</v>
      </c>
    </row>
    <row r="7" spans="1:17" ht="18" x14ac:dyDescent="0.25">
      <c r="H7" s="2">
        <f>H6/(12)^3</f>
        <v>2.4531250000000001E-2</v>
      </c>
      <c r="I7" s="2" t="s">
        <v>16</v>
      </c>
      <c r="K7" s="21" t="s">
        <v>36</v>
      </c>
      <c r="L7" s="19">
        <f>(L6-L3)/N3</f>
        <v>115.49549549549549</v>
      </c>
      <c r="P7" s="19" t="s">
        <v>40</v>
      </c>
      <c r="Q7" s="19">
        <f>(Q4-Q5)/(Q5-Q3)</f>
        <v>0.11172089376715012</v>
      </c>
    </row>
    <row r="8" spans="1:17" x14ac:dyDescent="0.25">
      <c r="K8" s="21" t="s">
        <v>37</v>
      </c>
      <c r="L8" s="19">
        <f>L7/(1+Q7)</f>
        <v>103.88893124436143</v>
      </c>
    </row>
    <row r="10" spans="1:17" x14ac:dyDescent="0.25">
      <c r="M10" s="5"/>
    </row>
    <row r="13" spans="1:17" s="7" customFormat="1" ht="57" x14ac:dyDescent="0.25">
      <c r="A13" s="6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J13" s="6" t="s">
        <v>24</v>
      </c>
      <c r="K13" s="6" t="s">
        <v>25</v>
      </c>
      <c r="L13" s="6" t="s">
        <v>26</v>
      </c>
      <c r="M13" s="6" t="s">
        <v>27</v>
      </c>
      <c r="N13" s="6" t="s">
        <v>28</v>
      </c>
      <c r="O13" s="6" t="s">
        <v>29</v>
      </c>
      <c r="P13" s="6" t="s">
        <v>30</v>
      </c>
    </row>
    <row r="14" spans="1:17" s="12" customFormat="1" x14ac:dyDescent="0.25">
      <c r="A14" s="8">
        <f>0*B3</f>
        <v>0</v>
      </c>
      <c r="B14" s="9">
        <f t="shared" ref="B14:B19" si="0">$B$6*(1+0.01*A14)*$H$7*453.592</f>
        <v>971.40270487500004</v>
      </c>
      <c r="C14" s="9">
        <f t="shared" ref="C14:C19" si="1">A14*B14/100</f>
        <v>0</v>
      </c>
      <c r="D14" s="9">
        <f t="shared" ref="D14:D19" si="2">B14-C14</f>
        <v>971.40270487500004</v>
      </c>
      <c r="E14" s="24">
        <v>0.35649999999999998</v>
      </c>
      <c r="F14" s="25">
        <f t="shared" ref="F14:F19" si="3">(1/E14)*100</f>
        <v>280.50490883590464</v>
      </c>
      <c r="G14" s="24">
        <v>24.3</v>
      </c>
      <c r="H14" s="11"/>
      <c r="J14" s="10"/>
      <c r="K14" s="9">
        <f t="shared" ref="K14:K19" si="4">B14-J14</f>
        <v>971.40270487500004</v>
      </c>
      <c r="L14" s="13">
        <f t="shared" ref="L14:L19" si="5">K14/B14</f>
        <v>1</v>
      </c>
      <c r="M14" s="13">
        <f t="shared" ref="M14:M19" si="6">$B$5*L14</f>
        <v>0.9</v>
      </c>
      <c r="N14" s="8">
        <f t="shared" ref="N14:N19" si="7">$B$5/M14</f>
        <v>1</v>
      </c>
      <c r="O14" s="14">
        <f t="shared" ref="O14:O19" si="8">E14*N14</f>
        <v>0.35649999999999998</v>
      </c>
      <c r="P14" s="15">
        <f t="shared" ref="P14:P19" si="9">(1/O14)*100</f>
        <v>280.50490883590464</v>
      </c>
    </row>
    <row r="15" spans="1:17" s="12" customFormat="1" x14ac:dyDescent="0.25">
      <c r="A15" s="18">
        <f>0.25*$B$3</f>
        <v>3.9750000000000001</v>
      </c>
      <c r="B15" s="9">
        <f t="shared" si="0"/>
        <v>1010.0159623937813</v>
      </c>
      <c r="C15" s="9">
        <f t="shared" si="1"/>
        <v>40.148134505152804</v>
      </c>
      <c r="D15" s="9">
        <f t="shared" si="2"/>
        <v>969.86782788862843</v>
      </c>
      <c r="E15" s="24">
        <v>0.54449999999999998</v>
      </c>
      <c r="F15" s="25">
        <f t="shared" si="3"/>
        <v>183.65472910927457</v>
      </c>
      <c r="G15" s="24">
        <v>26.6</v>
      </c>
      <c r="H15" s="16">
        <f>C15</f>
        <v>40.148134505152804</v>
      </c>
      <c r="J15" s="10"/>
      <c r="K15" s="9">
        <f t="shared" si="4"/>
        <v>1010.0159623937813</v>
      </c>
      <c r="L15" s="13">
        <f t="shared" si="5"/>
        <v>1</v>
      </c>
      <c r="M15" s="13">
        <f t="shared" si="6"/>
        <v>0.9</v>
      </c>
      <c r="N15" s="8">
        <f t="shared" si="7"/>
        <v>1</v>
      </c>
      <c r="O15" s="14">
        <f t="shared" si="8"/>
        <v>0.54449999999999998</v>
      </c>
      <c r="P15" s="15">
        <f t="shared" si="9"/>
        <v>183.65472910927457</v>
      </c>
    </row>
    <row r="16" spans="1:17" s="12" customFormat="1" x14ac:dyDescent="0.25">
      <c r="A16" s="18">
        <f>0.5*B3</f>
        <v>7.95</v>
      </c>
      <c r="B16" s="9">
        <f t="shared" si="0"/>
        <v>1048.6292199125623</v>
      </c>
      <c r="C16" s="9">
        <f t="shared" si="1"/>
        <v>83.366022983048708</v>
      </c>
      <c r="D16" s="9">
        <f t="shared" si="2"/>
        <v>965.2631969295137</v>
      </c>
      <c r="E16" s="24">
        <v>0.74250000000000005</v>
      </c>
      <c r="F16" s="25">
        <f t="shared" si="3"/>
        <v>134.68013468013467</v>
      </c>
      <c r="G16" s="24">
        <v>24.2</v>
      </c>
      <c r="H16" s="16">
        <f>C16-C15</f>
        <v>43.217888477895904</v>
      </c>
      <c r="J16" s="10"/>
      <c r="K16" s="9">
        <f t="shared" si="4"/>
        <v>1048.6292199125623</v>
      </c>
      <c r="L16" s="13">
        <f t="shared" si="5"/>
        <v>1</v>
      </c>
      <c r="M16" s="13">
        <f t="shared" si="6"/>
        <v>0.9</v>
      </c>
      <c r="N16" s="8">
        <f t="shared" si="7"/>
        <v>1</v>
      </c>
      <c r="O16" s="14">
        <f t="shared" si="8"/>
        <v>0.74250000000000005</v>
      </c>
      <c r="P16" s="15">
        <f t="shared" si="9"/>
        <v>134.68013468013467</v>
      </c>
    </row>
    <row r="17" spans="1:16" s="12" customFormat="1" x14ac:dyDescent="0.25">
      <c r="A17" s="18">
        <f>0.75*B3</f>
        <v>11.925000000000001</v>
      </c>
      <c r="B17" s="9">
        <f t="shared" si="0"/>
        <v>1087.2424774313438</v>
      </c>
      <c r="C17" s="9">
        <f t="shared" si="1"/>
        <v>129.65366543368773</v>
      </c>
      <c r="D17" s="9">
        <f t="shared" si="2"/>
        <v>957.58881199765608</v>
      </c>
      <c r="E17" s="24">
        <v>1.0589999999999999</v>
      </c>
      <c r="F17" s="25">
        <f t="shared" si="3"/>
        <v>94.428706326723329</v>
      </c>
      <c r="G17" s="24">
        <v>23.4</v>
      </c>
      <c r="H17" s="16">
        <f>C17-C16</f>
        <v>46.287642450639026</v>
      </c>
      <c r="J17" s="10"/>
      <c r="K17" s="9">
        <f t="shared" si="4"/>
        <v>1087.2424774313438</v>
      </c>
      <c r="L17" s="13">
        <f t="shared" si="5"/>
        <v>1</v>
      </c>
      <c r="M17" s="13">
        <f t="shared" si="6"/>
        <v>0.9</v>
      </c>
      <c r="N17" s="8">
        <f t="shared" si="7"/>
        <v>1</v>
      </c>
      <c r="O17" s="14">
        <f t="shared" si="8"/>
        <v>1.0589999999999999</v>
      </c>
      <c r="P17" s="15">
        <f t="shared" si="9"/>
        <v>94.428706326723329</v>
      </c>
    </row>
    <row r="18" spans="1:16" s="12" customFormat="1" x14ac:dyDescent="0.25">
      <c r="A18" s="18">
        <f>1*B3</f>
        <v>15.9</v>
      </c>
      <c r="B18" s="9">
        <f t="shared" si="0"/>
        <v>1125.855734950125</v>
      </c>
      <c r="C18" s="9">
        <f t="shared" si="1"/>
        <v>179.01106185706988</v>
      </c>
      <c r="D18" s="9">
        <f t="shared" si="2"/>
        <v>946.84467309305512</v>
      </c>
      <c r="E18" s="24">
        <v>1.2529999999999999</v>
      </c>
      <c r="F18" s="25">
        <f t="shared" si="3"/>
        <v>79.808459696727866</v>
      </c>
      <c r="G18" s="24">
        <v>22.3</v>
      </c>
      <c r="H18" s="16">
        <f>C18-C17</f>
        <v>49.357396423382141</v>
      </c>
      <c r="J18" s="10"/>
      <c r="K18" s="9">
        <f t="shared" si="4"/>
        <v>1125.855734950125</v>
      </c>
      <c r="L18" s="13">
        <f t="shared" si="5"/>
        <v>1</v>
      </c>
      <c r="M18" s="13">
        <f t="shared" si="6"/>
        <v>0.9</v>
      </c>
      <c r="N18" s="8">
        <f t="shared" si="7"/>
        <v>1</v>
      </c>
      <c r="O18" s="14">
        <f t="shared" si="8"/>
        <v>1.2529999999999999</v>
      </c>
      <c r="P18" s="15">
        <f t="shared" si="9"/>
        <v>79.808459696727866</v>
      </c>
    </row>
    <row r="19" spans="1:16" x14ac:dyDescent="0.25">
      <c r="A19" s="18">
        <f>E6</f>
        <v>29.914961083885839</v>
      </c>
      <c r="B19" s="9">
        <f t="shared" si="0"/>
        <v>1261.9974460061708</v>
      </c>
      <c r="C19" s="9">
        <f t="shared" si="1"/>
        <v>377.52604485237919</v>
      </c>
      <c r="D19" s="9">
        <f t="shared" si="2"/>
        <v>884.47140115379159</v>
      </c>
      <c r="E19" s="24">
        <v>1.036</v>
      </c>
      <c r="F19" s="25">
        <f t="shared" si="3"/>
        <v>96.525096525096515</v>
      </c>
      <c r="G19" s="24">
        <v>22.8</v>
      </c>
      <c r="H19" s="16">
        <f>C19-C18</f>
        <v>198.51498299530931</v>
      </c>
      <c r="J19" s="10"/>
      <c r="K19" s="9">
        <f t="shared" si="4"/>
        <v>1261.9974460061708</v>
      </c>
      <c r="L19" s="13">
        <f t="shared" si="5"/>
        <v>1</v>
      </c>
      <c r="M19" s="13">
        <f t="shared" si="6"/>
        <v>0.9</v>
      </c>
      <c r="N19" s="8">
        <f t="shared" si="7"/>
        <v>1</v>
      </c>
      <c r="O19" s="14">
        <f t="shared" si="8"/>
        <v>1.036</v>
      </c>
      <c r="P19" s="15">
        <f t="shared" si="9"/>
        <v>96.525096525096515</v>
      </c>
    </row>
    <row r="22" spans="1:16" x14ac:dyDescent="0.25">
      <c r="G22" s="22">
        <v>0.85</v>
      </c>
      <c r="H22" s="22">
        <v>0.05</v>
      </c>
      <c r="J22" s="22">
        <v>0.05</v>
      </c>
      <c r="K22" s="22">
        <v>0.9</v>
      </c>
    </row>
    <row r="23" spans="1:16" x14ac:dyDescent="0.25">
      <c r="G23" s="23">
        <v>477.0992366412213</v>
      </c>
      <c r="H23" s="2">
        <v>20.9</v>
      </c>
      <c r="I23" s="2">
        <v>369.96</v>
      </c>
      <c r="J23" s="23">
        <f>G23*(5/100)</f>
        <v>23.854961832061065</v>
      </c>
      <c r="K23" s="23">
        <f>G23-J23</f>
        <v>453.24427480916023</v>
      </c>
      <c r="L23" s="2">
        <f>(1/K23)*100</f>
        <v>0.22063157894736846</v>
      </c>
    </row>
    <row r="24" spans="1:16" x14ac:dyDescent="0.25">
      <c r="G24" s="23">
        <v>150.37593984962405</v>
      </c>
      <c r="H24" s="2">
        <v>21.8</v>
      </c>
      <c r="J24" s="23">
        <f t="shared" ref="J24:J28" si="10">G24*(5/100)</f>
        <v>7.518796992481203</v>
      </c>
      <c r="K24" s="23">
        <f t="shared" ref="K24:K28" si="11">G24-J24</f>
        <v>142.85714285714283</v>
      </c>
      <c r="L24" s="2">
        <f t="shared" ref="L24:L28" si="12">(1/K24)*100</f>
        <v>0.70000000000000007</v>
      </c>
    </row>
    <row r="25" spans="1:16" x14ac:dyDescent="0.25">
      <c r="G25" s="23">
        <v>72.516316171138513</v>
      </c>
      <c r="H25" s="2">
        <v>21.8</v>
      </c>
      <c r="J25" s="23">
        <f t="shared" si="10"/>
        <v>3.6258158085569256</v>
      </c>
      <c r="K25" s="23">
        <f t="shared" si="11"/>
        <v>68.890500362581591</v>
      </c>
      <c r="L25" s="2">
        <f t="shared" si="12"/>
        <v>1.4515789473684209</v>
      </c>
    </row>
    <row r="26" spans="1:16" x14ac:dyDescent="0.25">
      <c r="G26" s="23">
        <v>56.785917092561043</v>
      </c>
      <c r="H26" s="2">
        <v>21.7</v>
      </c>
      <c r="J26" s="23">
        <f t="shared" si="10"/>
        <v>2.8392958546280522</v>
      </c>
      <c r="K26" s="23">
        <f t="shared" si="11"/>
        <v>53.946621237932987</v>
      </c>
      <c r="L26" s="2">
        <f t="shared" si="12"/>
        <v>1.853684210526316</v>
      </c>
    </row>
    <row r="27" spans="1:16" x14ac:dyDescent="0.25">
      <c r="G27" s="23">
        <v>39.61965134706815</v>
      </c>
      <c r="H27" s="2">
        <v>21.7</v>
      </c>
      <c r="J27" s="23">
        <f t="shared" si="10"/>
        <v>1.9809825673534076</v>
      </c>
      <c r="K27" s="23">
        <f t="shared" si="11"/>
        <v>37.638668779714742</v>
      </c>
      <c r="L27" s="2">
        <f t="shared" si="12"/>
        <v>2.6568421052631579</v>
      </c>
    </row>
    <row r="28" spans="1:16" x14ac:dyDescent="0.25">
      <c r="G28" s="23">
        <v>48.076923076923073</v>
      </c>
      <c r="H28" s="2">
        <v>20.100000000000001</v>
      </c>
      <c r="J28" s="23">
        <f t="shared" si="10"/>
        <v>2.4038461538461537</v>
      </c>
      <c r="K28" s="23">
        <f t="shared" si="11"/>
        <v>45.67307692307692</v>
      </c>
      <c r="L28" s="2">
        <f t="shared" si="12"/>
        <v>2.1894736842105265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8DBC-197A-4048-9D2F-1019D178B496}">
  <dimension ref="A3:Q28"/>
  <sheetViews>
    <sheetView topLeftCell="A12" zoomScaleNormal="100" workbookViewId="0">
      <selection activeCell="F40" sqref="F40"/>
    </sheetView>
  </sheetViews>
  <sheetFormatPr defaultColWidth="8.85546875" defaultRowHeight="15" x14ac:dyDescent="0.25"/>
  <cols>
    <col min="1" max="1" width="24.7109375" style="2" customWidth="1"/>
    <col min="2" max="2" width="19.7109375" style="2" customWidth="1"/>
    <col min="3" max="3" width="18.28515625" style="2" customWidth="1"/>
    <col min="4" max="4" width="23.28515625" style="2" customWidth="1"/>
    <col min="5" max="7" width="18.28515625" style="2" customWidth="1"/>
    <col min="8" max="8" width="13.140625" style="2" customWidth="1"/>
    <col min="9" max="9" width="8.85546875" style="2"/>
    <col min="10" max="10" width="11.7109375" style="2" customWidth="1"/>
    <col min="11" max="11" width="13" style="2" customWidth="1"/>
    <col min="12" max="12" width="12.7109375" style="2" customWidth="1"/>
    <col min="13" max="13" width="11.7109375" style="2" customWidth="1"/>
    <col min="14" max="14" width="10.5703125" style="2" customWidth="1"/>
    <col min="15" max="15" width="12.5703125" style="2" customWidth="1"/>
    <col min="16" max="16" width="11.42578125" style="2" customWidth="1"/>
    <col min="17" max="16384" width="8.85546875" style="2"/>
  </cols>
  <sheetData>
    <row r="3" spans="1:17" x14ac:dyDescent="0.25">
      <c r="A3" s="1" t="s">
        <v>0</v>
      </c>
      <c r="B3" s="4">
        <v>15.9</v>
      </c>
      <c r="C3" s="1" t="s">
        <v>1</v>
      </c>
      <c r="D3" s="1" t="s">
        <v>2</v>
      </c>
      <c r="E3" s="26">
        <v>308.39999999999998</v>
      </c>
      <c r="G3" s="3" t="s">
        <v>3</v>
      </c>
      <c r="K3" s="1" t="s">
        <v>31</v>
      </c>
      <c r="L3" s="19">
        <v>9.2620000000000005</v>
      </c>
      <c r="M3" s="20" t="s">
        <v>32</v>
      </c>
      <c r="N3" s="19">
        <v>3.3300000000000003E-2</v>
      </c>
      <c r="P3" s="21" t="s">
        <v>35</v>
      </c>
      <c r="Q3" s="19">
        <v>144.4</v>
      </c>
    </row>
    <row r="4" spans="1:17" x14ac:dyDescent="0.25">
      <c r="A4" s="1" t="s">
        <v>4</v>
      </c>
      <c r="B4" s="1">
        <v>97</v>
      </c>
      <c r="C4" s="1" t="s">
        <v>5</v>
      </c>
      <c r="D4" s="1" t="s">
        <v>6</v>
      </c>
      <c r="E4" s="26">
        <v>2247.5</v>
      </c>
      <c r="G4" s="2" t="s">
        <v>7</v>
      </c>
      <c r="H4" s="2">
        <v>3</v>
      </c>
      <c r="I4" s="2" t="s">
        <v>8</v>
      </c>
      <c r="K4" s="1" t="s">
        <v>33</v>
      </c>
      <c r="L4" s="19">
        <v>14.4</v>
      </c>
      <c r="M4" s="20" t="s">
        <v>32</v>
      </c>
      <c r="N4" s="19">
        <v>7.4999999999999997E-2</v>
      </c>
      <c r="P4" s="21" t="s">
        <v>38</v>
      </c>
      <c r="Q4" s="19">
        <v>711.6</v>
      </c>
    </row>
    <row r="5" spans="1:17" x14ac:dyDescent="0.25">
      <c r="A5" s="1" t="s">
        <v>9</v>
      </c>
      <c r="B5" s="1">
        <v>0.9</v>
      </c>
      <c r="C5" s="1"/>
      <c r="D5" s="1" t="s">
        <v>10</v>
      </c>
      <c r="E5" s="26">
        <v>1802.3</v>
      </c>
      <c r="G5" s="2" t="s">
        <v>11</v>
      </c>
      <c r="H5" s="2">
        <v>6</v>
      </c>
      <c r="I5" s="2" t="s">
        <v>8</v>
      </c>
      <c r="P5" s="21" t="s">
        <v>39</v>
      </c>
      <c r="Q5" s="19">
        <v>654.6</v>
      </c>
    </row>
    <row r="6" spans="1:17" ht="18" x14ac:dyDescent="0.25">
      <c r="A6" s="1" t="s">
        <v>12</v>
      </c>
      <c r="B6" s="1">
        <f>B5*B4</f>
        <v>87.3</v>
      </c>
      <c r="C6" s="1" t="s">
        <v>5</v>
      </c>
      <c r="D6" s="1" t="s">
        <v>13</v>
      </c>
      <c r="E6" s="27">
        <f>(((E4-E3)-(E5-E3))/(E5-E3))*100</f>
        <v>29.801191512149394</v>
      </c>
      <c r="G6" s="2" t="s">
        <v>14</v>
      </c>
      <c r="H6" s="2">
        <f>3.14*H4*H4*H5/4</f>
        <v>42.39</v>
      </c>
      <c r="I6" s="2" t="s">
        <v>15</v>
      </c>
      <c r="K6" s="21" t="s">
        <v>34</v>
      </c>
      <c r="L6" s="19">
        <v>13.108000000000001</v>
      </c>
    </row>
    <row r="7" spans="1:17" ht="18" x14ac:dyDescent="0.25">
      <c r="H7" s="2">
        <f>H6/(12)^3</f>
        <v>2.4531250000000001E-2</v>
      </c>
      <c r="I7" s="2" t="s">
        <v>16</v>
      </c>
      <c r="K7" s="21" t="s">
        <v>36</v>
      </c>
      <c r="L7" s="19">
        <f>(L6-L3)/N3</f>
        <v>115.49549549549549</v>
      </c>
      <c r="P7" s="19" t="s">
        <v>40</v>
      </c>
      <c r="Q7" s="19">
        <f>(Q4-Q5)/(Q5-Q3)</f>
        <v>0.11172089376715012</v>
      </c>
    </row>
    <row r="8" spans="1:17" x14ac:dyDescent="0.25">
      <c r="K8" s="21" t="s">
        <v>37</v>
      </c>
      <c r="L8" s="19">
        <f>L7/(1+Q7)</f>
        <v>103.88893124436143</v>
      </c>
    </row>
    <row r="10" spans="1:17" x14ac:dyDescent="0.25">
      <c r="M10" s="5"/>
    </row>
    <row r="13" spans="1:17" s="7" customFormat="1" ht="57" x14ac:dyDescent="0.25">
      <c r="A13" s="6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J13" s="6" t="s">
        <v>24</v>
      </c>
      <c r="K13" s="6" t="s">
        <v>25</v>
      </c>
      <c r="L13" s="6" t="s">
        <v>26</v>
      </c>
      <c r="M13" s="6" t="s">
        <v>27</v>
      </c>
      <c r="N13" s="6" t="s">
        <v>28</v>
      </c>
      <c r="O13" s="6" t="s">
        <v>29</v>
      </c>
      <c r="P13" s="6" t="s">
        <v>30</v>
      </c>
    </row>
    <row r="14" spans="1:17" s="12" customFormat="1" x14ac:dyDescent="0.25">
      <c r="A14" s="8">
        <f>0*B3</f>
        <v>0</v>
      </c>
      <c r="B14" s="9">
        <f t="shared" ref="B14:B19" si="0">$B$6*(1+0.01*A14)*$H$7*453.592</f>
        <v>971.40270487500004</v>
      </c>
      <c r="C14" s="9">
        <f t="shared" ref="C14:C19" si="1">A14*B14/100</f>
        <v>0</v>
      </c>
      <c r="D14" s="9">
        <f t="shared" ref="D14:D19" si="2">B14-C14</f>
        <v>971.40270487500004</v>
      </c>
      <c r="E14" s="24">
        <v>0.39510000000000001</v>
      </c>
      <c r="F14" s="25">
        <f t="shared" ref="F14:F19" si="3">(1/E14)*100</f>
        <v>253.10048089091367</v>
      </c>
      <c r="G14" s="24">
        <v>22.9</v>
      </c>
      <c r="H14" s="11"/>
      <c r="J14" s="10"/>
      <c r="K14" s="9">
        <f t="shared" ref="K14:K19" si="4">B14-J14</f>
        <v>971.40270487500004</v>
      </c>
      <c r="L14" s="13">
        <f t="shared" ref="L14:L19" si="5">K14/B14</f>
        <v>1</v>
      </c>
      <c r="M14" s="13">
        <f t="shared" ref="M14:M19" si="6">$B$5*L14</f>
        <v>0.9</v>
      </c>
      <c r="N14" s="8">
        <f t="shared" ref="N14:N19" si="7">$B$5/M14</f>
        <v>1</v>
      </c>
      <c r="O14" s="14">
        <f t="shared" ref="O14:O19" si="8">E14*N14</f>
        <v>0.39510000000000001</v>
      </c>
      <c r="P14" s="15">
        <f t="shared" ref="P14:P19" si="9">(1/O14)*100</f>
        <v>253.10048089091367</v>
      </c>
    </row>
    <row r="15" spans="1:17" s="12" customFormat="1" x14ac:dyDescent="0.25">
      <c r="A15" s="18">
        <f>0.25*$B$3</f>
        <v>3.9750000000000001</v>
      </c>
      <c r="B15" s="9">
        <f t="shared" si="0"/>
        <v>1010.0159623937813</v>
      </c>
      <c r="C15" s="9">
        <f t="shared" si="1"/>
        <v>40.148134505152804</v>
      </c>
      <c r="D15" s="9">
        <f t="shared" si="2"/>
        <v>969.86782788862843</v>
      </c>
      <c r="E15" s="24">
        <v>0.48249999999999998</v>
      </c>
      <c r="F15" s="25">
        <f t="shared" si="3"/>
        <v>207.25388601036272</v>
      </c>
      <c r="G15" s="24">
        <v>25.1</v>
      </c>
      <c r="H15" s="16">
        <f>C15</f>
        <v>40.148134505152804</v>
      </c>
      <c r="J15" s="10"/>
      <c r="K15" s="9">
        <f t="shared" si="4"/>
        <v>1010.0159623937813</v>
      </c>
      <c r="L15" s="13">
        <f t="shared" si="5"/>
        <v>1</v>
      </c>
      <c r="M15" s="13">
        <f t="shared" si="6"/>
        <v>0.9</v>
      </c>
      <c r="N15" s="8">
        <f t="shared" si="7"/>
        <v>1</v>
      </c>
      <c r="O15" s="14">
        <f t="shared" si="8"/>
        <v>0.48249999999999998</v>
      </c>
      <c r="P15" s="15">
        <f t="shared" si="9"/>
        <v>207.25388601036272</v>
      </c>
    </row>
    <row r="16" spans="1:17" s="12" customFormat="1" x14ac:dyDescent="0.25">
      <c r="A16" s="18">
        <f>0.5*B3</f>
        <v>7.95</v>
      </c>
      <c r="B16" s="9">
        <f t="shared" si="0"/>
        <v>1048.6292199125623</v>
      </c>
      <c r="C16" s="9">
        <f t="shared" si="1"/>
        <v>83.366022983048708</v>
      </c>
      <c r="D16" s="9">
        <f t="shared" si="2"/>
        <v>965.2631969295137</v>
      </c>
      <c r="E16" s="24">
        <v>0.82799999999999996</v>
      </c>
      <c r="F16" s="25">
        <f t="shared" si="3"/>
        <v>120.77294685990339</v>
      </c>
      <c r="G16" s="24">
        <v>24.4</v>
      </c>
      <c r="H16" s="16">
        <f>C16-C15</f>
        <v>43.217888477895904</v>
      </c>
      <c r="J16" s="10"/>
      <c r="K16" s="9">
        <f t="shared" si="4"/>
        <v>1048.6292199125623</v>
      </c>
      <c r="L16" s="13">
        <f t="shared" si="5"/>
        <v>1</v>
      </c>
      <c r="M16" s="13">
        <f t="shared" si="6"/>
        <v>0.9</v>
      </c>
      <c r="N16" s="8">
        <f t="shared" si="7"/>
        <v>1</v>
      </c>
      <c r="O16" s="14">
        <f t="shared" si="8"/>
        <v>0.82799999999999996</v>
      </c>
      <c r="P16" s="15">
        <f t="shared" si="9"/>
        <v>120.77294685990339</v>
      </c>
    </row>
    <row r="17" spans="1:16" s="12" customFormat="1" x14ac:dyDescent="0.25">
      <c r="A17" s="18">
        <f>0.75*B3</f>
        <v>11.925000000000001</v>
      </c>
      <c r="B17" s="9">
        <f t="shared" si="0"/>
        <v>1087.2424774313438</v>
      </c>
      <c r="C17" s="9">
        <f t="shared" si="1"/>
        <v>129.65366543368773</v>
      </c>
      <c r="D17" s="9">
        <f t="shared" si="2"/>
        <v>957.58881199765608</v>
      </c>
      <c r="E17" s="24">
        <v>0.99870000000000003</v>
      </c>
      <c r="F17" s="25">
        <f t="shared" si="3"/>
        <v>100.13016921998599</v>
      </c>
      <c r="G17" s="24">
        <v>23.6</v>
      </c>
      <c r="H17" s="16">
        <f>C17-C16</f>
        <v>46.287642450639026</v>
      </c>
      <c r="J17" s="10"/>
      <c r="K17" s="9">
        <f t="shared" si="4"/>
        <v>1087.2424774313438</v>
      </c>
      <c r="L17" s="13">
        <f t="shared" si="5"/>
        <v>1</v>
      </c>
      <c r="M17" s="13">
        <f t="shared" si="6"/>
        <v>0.9</v>
      </c>
      <c r="N17" s="8">
        <f t="shared" si="7"/>
        <v>1</v>
      </c>
      <c r="O17" s="14">
        <f t="shared" si="8"/>
        <v>0.99870000000000003</v>
      </c>
      <c r="P17" s="15">
        <f t="shared" si="9"/>
        <v>100.13016921998599</v>
      </c>
    </row>
    <row r="18" spans="1:16" s="12" customFormat="1" x14ac:dyDescent="0.25">
      <c r="A18" s="18">
        <f>1*B3</f>
        <v>15.9</v>
      </c>
      <c r="B18" s="9">
        <f t="shared" si="0"/>
        <v>1125.855734950125</v>
      </c>
      <c r="C18" s="9">
        <f t="shared" si="1"/>
        <v>179.01106185706988</v>
      </c>
      <c r="D18" s="9">
        <f t="shared" si="2"/>
        <v>946.84467309305512</v>
      </c>
      <c r="E18" s="24">
        <v>1.389</v>
      </c>
      <c r="F18" s="25">
        <f t="shared" si="3"/>
        <v>71.994240460763137</v>
      </c>
      <c r="G18" s="24">
        <v>23.3</v>
      </c>
      <c r="H18" s="16">
        <f>C18-C17</f>
        <v>49.357396423382141</v>
      </c>
      <c r="J18" s="10"/>
      <c r="K18" s="9">
        <f t="shared" si="4"/>
        <v>1125.855734950125</v>
      </c>
      <c r="L18" s="13">
        <f t="shared" si="5"/>
        <v>1</v>
      </c>
      <c r="M18" s="13">
        <f t="shared" si="6"/>
        <v>0.9</v>
      </c>
      <c r="N18" s="8">
        <f t="shared" si="7"/>
        <v>1</v>
      </c>
      <c r="O18" s="14">
        <f t="shared" si="8"/>
        <v>1.389</v>
      </c>
      <c r="P18" s="15">
        <f t="shared" si="9"/>
        <v>71.994240460763137</v>
      </c>
    </row>
    <row r="19" spans="1:16" x14ac:dyDescent="0.25">
      <c r="A19" s="18">
        <f>E6</f>
        <v>29.801191512149394</v>
      </c>
      <c r="B19" s="9">
        <f t="shared" si="0"/>
        <v>1260.892285308998</v>
      </c>
      <c r="C19" s="9">
        <f t="shared" si="1"/>
        <v>375.76092470685165</v>
      </c>
      <c r="D19" s="9">
        <f t="shared" si="2"/>
        <v>885.13136060214629</v>
      </c>
      <c r="E19" s="24">
        <v>1.054</v>
      </c>
      <c r="F19" s="25">
        <f t="shared" si="3"/>
        <v>94.876660341555976</v>
      </c>
      <c r="G19" s="24">
        <v>22.5</v>
      </c>
      <c r="H19" s="16">
        <f>C19-C18</f>
        <v>196.74986284978178</v>
      </c>
      <c r="J19" s="10"/>
      <c r="K19" s="9">
        <f t="shared" si="4"/>
        <v>1260.892285308998</v>
      </c>
      <c r="L19" s="13">
        <f t="shared" si="5"/>
        <v>1</v>
      </c>
      <c r="M19" s="13">
        <f t="shared" si="6"/>
        <v>0.9</v>
      </c>
      <c r="N19" s="8">
        <f t="shared" si="7"/>
        <v>1</v>
      </c>
      <c r="O19" s="14">
        <f t="shared" si="8"/>
        <v>1.054</v>
      </c>
      <c r="P19" s="15">
        <f t="shared" si="9"/>
        <v>94.876660341555976</v>
      </c>
    </row>
    <row r="22" spans="1:16" x14ac:dyDescent="0.25">
      <c r="G22" s="22">
        <v>0.85</v>
      </c>
      <c r="H22" s="22">
        <v>0.05</v>
      </c>
      <c r="J22" s="22">
        <v>0.05</v>
      </c>
      <c r="K22" s="22">
        <v>0.9</v>
      </c>
    </row>
    <row r="23" spans="1:16" x14ac:dyDescent="0.25">
      <c r="G23" s="23">
        <v>477.0992366412213</v>
      </c>
      <c r="H23" s="2">
        <v>20.9</v>
      </c>
      <c r="I23" s="2">
        <v>369.96</v>
      </c>
      <c r="J23" s="23">
        <f>G23*(5/100)</f>
        <v>23.854961832061065</v>
      </c>
      <c r="K23" s="23">
        <f>G23-J23</f>
        <v>453.24427480916023</v>
      </c>
      <c r="L23" s="2">
        <f>(1/K23)*100</f>
        <v>0.22063157894736846</v>
      </c>
    </row>
    <row r="24" spans="1:16" x14ac:dyDescent="0.25">
      <c r="G24" s="23">
        <v>150.37593984962405</v>
      </c>
      <c r="H24" s="2">
        <v>21.8</v>
      </c>
      <c r="J24" s="23">
        <f t="shared" ref="J24:J28" si="10">G24*(5/100)</f>
        <v>7.518796992481203</v>
      </c>
      <c r="K24" s="23">
        <f t="shared" ref="K24:K28" si="11">G24-J24</f>
        <v>142.85714285714283</v>
      </c>
      <c r="L24" s="2">
        <f t="shared" ref="L24:L28" si="12">(1/K24)*100</f>
        <v>0.70000000000000007</v>
      </c>
    </row>
    <row r="25" spans="1:16" x14ac:dyDescent="0.25">
      <c r="G25" s="23">
        <v>72.516316171138513</v>
      </c>
      <c r="H25" s="2">
        <v>21.8</v>
      </c>
      <c r="J25" s="23">
        <f t="shared" si="10"/>
        <v>3.6258158085569256</v>
      </c>
      <c r="K25" s="23">
        <f t="shared" si="11"/>
        <v>68.890500362581591</v>
      </c>
      <c r="L25" s="2">
        <f t="shared" si="12"/>
        <v>1.4515789473684209</v>
      </c>
    </row>
    <row r="26" spans="1:16" x14ac:dyDescent="0.25">
      <c r="G26" s="23">
        <v>56.785917092561043</v>
      </c>
      <c r="H26" s="2">
        <v>21.7</v>
      </c>
      <c r="J26" s="23">
        <f t="shared" si="10"/>
        <v>2.8392958546280522</v>
      </c>
      <c r="K26" s="23">
        <f t="shared" si="11"/>
        <v>53.946621237932987</v>
      </c>
      <c r="L26" s="2">
        <f t="shared" si="12"/>
        <v>1.853684210526316</v>
      </c>
    </row>
    <row r="27" spans="1:16" x14ac:dyDescent="0.25">
      <c r="G27" s="23">
        <v>39.61965134706815</v>
      </c>
      <c r="H27" s="2">
        <v>21.7</v>
      </c>
      <c r="J27" s="23">
        <f t="shared" si="10"/>
        <v>1.9809825673534076</v>
      </c>
      <c r="K27" s="23">
        <f t="shared" si="11"/>
        <v>37.638668779714742</v>
      </c>
      <c r="L27" s="2">
        <f t="shared" si="12"/>
        <v>2.6568421052631579</v>
      </c>
    </row>
    <row r="28" spans="1:16" x14ac:dyDescent="0.25">
      <c r="G28" s="23">
        <v>48.076923076923073</v>
      </c>
      <c r="H28" s="2">
        <v>20.100000000000001</v>
      </c>
      <c r="J28" s="23">
        <f t="shared" si="10"/>
        <v>2.4038461538461537</v>
      </c>
      <c r="K28" s="23">
        <f t="shared" si="11"/>
        <v>45.67307692307692</v>
      </c>
      <c r="L28" s="2">
        <f t="shared" si="12"/>
        <v>2.1894736842105265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DACFE98B163E4E86144960915BD3C1" ma:contentTypeVersion="16" ma:contentTypeDescription="Create a new document." ma:contentTypeScope="" ma:versionID="c199d50255f44394da63014949950c1a">
  <xsd:schema xmlns:xsd="http://www.w3.org/2001/XMLSchema" xmlns:xs="http://www.w3.org/2001/XMLSchema" xmlns:p="http://schemas.microsoft.com/office/2006/metadata/properties" xmlns:ns2="ab0fd08e-aa41-46d0-9c36-b2b8fa90fd15" xmlns:ns3="e7e06555-026b-475e-a2a1-2f82de6ea18f" targetNamespace="http://schemas.microsoft.com/office/2006/metadata/properties" ma:root="true" ma:fieldsID="875c12e8c916ab692adf712270c7b763" ns2:_="" ns3:_="">
    <xsd:import namespace="ab0fd08e-aa41-46d0-9c36-b2b8fa90fd15"/>
    <xsd:import namespace="e7e06555-026b-475e-a2a1-2f82de6ea1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fd08e-aa41-46d0-9c36-b2b8fa90fd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7461400-c892-45e1-8a6c-acac7f005f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06555-026b-475e-a2a1-2f82de6ea18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374bd17-28e2-40c9-b4b5-5c83113def5d}" ma:internalName="TaxCatchAll" ma:showField="CatchAllData" ma:web="e7e06555-026b-475e-a2a1-2f82de6ea1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1939AA-DC7D-405E-B721-89D8AE5E07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3F32E6-D69C-459B-9431-B1CDE66A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fd08e-aa41-46d0-9c36-b2b8fa90fd15"/>
    <ds:schemaRef ds:uri="e7e06555-026b-475e-a2a1-2f82de6ea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All plots - Sandy</vt:lpstr>
      <vt:lpstr>DI</vt:lpstr>
      <vt:lpstr>15g_L Brine</vt:lpstr>
      <vt:lpstr>30g_L Brine</vt:lpstr>
      <vt:lpstr>All plots - Silt Clay</vt:lpstr>
      <vt:lpstr>DI (2)</vt:lpstr>
      <vt:lpstr>15g_L Brine (2)</vt:lpstr>
      <vt:lpstr>30g_L Brine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Verdi</dc:creator>
  <cp:lastModifiedBy>Kolawole, Oladoyin</cp:lastModifiedBy>
  <dcterms:created xsi:type="dcterms:W3CDTF">2022-12-01T14:52:29Z</dcterms:created>
  <dcterms:modified xsi:type="dcterms:W3CDTF">2025-06-20T19:26:02Z</dcterms:modified>
</cp:coreProperties>
</file>